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UCA\Legislación\"/>
    </mc:Choice>
  </mc:AlternateContent>
  <bookViews>
    <workbookView xWindow="0" yWindow="0" windowWidth="17970" windowHeight="6060" firstSheet="4" activeTab="5"/>
  </bookViews>
  <sheets>
    <sheet name="Andre gerente merca" sheetId="1" r:id="rId1"/>
    <sheet name="Gustavo " sheetId="2" r:id="rId2"/>
    <sheet name="Plantilla indemnizaciones" sheetId="3" r:id="rId3"/>
    <sheet name="Prestaciones Laborales " sheetId="4" r:id="rId4"/>
    <sheet name="Cálculo de Salario " sheetId="5" r:id="rId5"/>
    <sheet name="Horas Extra " sheetId="6" r:id="rId6"/>
    <sheet name="`Día de descanso " sheetId="7" r:id="rId7"/>
    <sheet name="Asueto " sheetId="8" r:id="rId8"/>
    <sheet name="Vacación " sheetId="9" r:id="rId9"/>
    <sheet name="AGUINALDO 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5" l="1"/>
  <c r="M11" i="5"/>
  <c r="H8" i="5"/>
  <c r="D12" i="5"/>
  <c r="D11" i="5"/>
  <c r="I8" i="5"/>
  <c r="J8" i="5" s="1"/>
  <c r="P13" i="6"/>
  <c r="C49" i="3"/>
  <c r="F39" i="3" s="1"/>
  <c r="E9" i="10"/>
  <c r="F9" i="10"/>
  <c r="R24" i="9"/>
  <c r="Q24" i="9"/>
  <c r="D12" i="9"/>
  <c r="G9" i="9"/>
  <c r="G10" i="9"/>
  <c r="J56" i="10"/>
  <c r="N56" i="10" s="1"/>
  <c r="G68" i="10" s="1"/>
  <c r="I56" i="10"/>
  <c r="C69" i="10"/>
  <c r="C72" i="10" s="1"/>
  <c r="H66" i="10" s="1"/>
  <c r="B69" i="10"/>
  <c r="D24" i="10"/>
  <c r="F29" i="10"/>
  <c r="C41" i="10"/>
  <c r="L24" i="10" s="1"/>
  <c r="B41" i="10"/>
  <c r="H9" i="10"/>
  <c r="G9" i="10"/>
  <c r="J47" i="9"/>
  <c r="J45" i="9"/>
  <c r="D43" i="9"/>
  <c r="E43" i="9" s="1"/>
  <c r="F43" i="9" s="1"/>
  <c r="C43" i="9"/>
  <c r="K28" i="9"/>
  <c r="L28" i="9" s="1"/>
  <c r="M28" i="9" s="1"/>
  <c r="J28" i="9"/>
  <c r="J12" i="9"/>
  <c r="G4" i="9"/>
  <c r="J10" i="9" s="1"/>
  <c r="F4" i="9"/>
  <c r="I4" i="9" s="1"/>
  <c r="P8" i="7"/>
  <c r="F8" i="7"/>
  <c r="G8" i="7"/>
  <c r="H8" i="7" s="1"/>
  <c r="E7" i="8"/>
  <c r="F7" i="8" s="1"/>
  <c r="E18" i="6"/>
  <c r="I18" i="6" s="1"/>
  <c r="K18" i="6" s="1"/>
  <c r="D18" i="6"/>
  <c r="F18" i="6" s="1"/>
  <c r="J18" i="6" s="1"/>
  <c r="M6" i="6"/>
  <c r="J6" i="6"/>
  <c r="G6" i="6"/>
  <c r="F6" i="6"/>
  <c r="D5" i="3"/>
  <c r="D54" i="3"/>
  <c r="E54" i="3"/>
  <c r="F61" i="3" s="1"/>
  <c r="E32" i="3"/>
  <c r="G37" i="3" s="1"/>
  <c r="F54" i="3"/>
  <c r="G61" i="3"/>
  <c r="C76" i="3"/>
  <c r="G65" i="3" s="1"/>
  <c r="B76" i="3"/>
  <c r="H54" i="3"/>
  <c r="F37" i="3"/>
  <c r="B49" i="3"/>
  <c r="H32" i="3"/>
  <c r="H18" i="3"/>
  <c r="G18" i="3"/>
  <c r="H21" i="3"/>
  <c r="K5" i="3"/>
  <c r="H13" i="3" s="1"/>
  <c r="H5" i="3"/>
  <c r="E5" i="3"/>
  <c r="H10" i="3" s="1"/>
  <c r="C25" i="3"/>
  <c r="I22" i="3" s="1"/>
  <c r="H22" i="3" s="1"/>
  <c r="B25" i="3"/>
  <c r="J7" i="2"/>
  <c r="J5" i="2"/>
  <c r="J3" i="2"/>
  <c r="D22" i="2"/>
  <c r="D28" i="1"/>
  <c r="C27" i="1"/>
  <c r="D23" i="1"/>
  <c r="N13" i="1"/>
  <c r="E17" i="1"/>
  <c r="H7" i="8" l="1"/>
  <c r="L7" i="8" s="1"/>
  <c r="G7" i="8"/>
  <c r="K7" i="8" s="1"/>
  <c r="M56" i="10"/>
  <c r="G65" i="10" s="1"/>
  <c r="G66" i="10" s="1"/>
  <c r="L56" i="10"/>
  <c r="G61" i="10" s="1"/>
  <c r="H62" i="10"/>
  <c r="H69" i="10"/>
  <c r="G69" i="10" s="1"/>
  <c r="G30" i="10"/>
  <c r="M24" i="10" s="1"/>
  <c r="F31" i="9"/>
  <c r="F33" i="9" s="1"/>
  <c r="I8" i="7"/>
  <c r="M8" i="7" s="1"/>
  <c r="J8" i="7"/>
  <c r="N8" i="7" s="1"/>
  <c r="F32" i="3"/>
  <c r="H37" i="3"/>
  <c r="H42" i="3" s="1"/>
  <c r="H61" i="3"/>
  <c r="G67" i="3" s="1"/>
  <c r="I18" i="3"/>
  <c r="H23" i="3" s="1"/>
  <c r="K21" i="3" s="1"/>
  <c r="I10" i="3"/>
  <c r="J10" i="3" s="1"/>
  <c r="H15" i="3" s="1"/>
  <c r="I14" i="3"/>
  <c r="H14" i="3" s="1"/>
  <c r="F5" i="3"/>
  <c r="G62" i="10" l="1"/>
  <c r="O8" i="7"/>
  <c r="K16" i="3"/>
  <c r="M7" i="8" l="1"/>
</calcChain>
</file>

<file path=xl/sharedStrings.xml><?xml version="1.0" encoding="utf-8"?>
<sst xmlns="http://schemas.openxmlformats.org/spreadsheetml/2006/main" count="360" uniqueCount="213">
  <si>
    <t>Indemnizaciones</t>
  </si>
  <si>
    <t xml:space="preserve">Tiempo </t>
  </si>
  <si>
    <t>4 años  y 100 días</t>
  </si>
  <si>
    <t xml:space="preserve">Salario </t>
  </si>
  <si>
    <t>indem $1200</t>
  </si>
  <si>
    <t>renun$600</t>
  </si>
  <si>
    <t xml:space="preserve">Salario diario </t>
  </si>
  <si>
    <t xml:space="preserve">Según ley </t>
  </si>
  <si>
    <t xml:space="preserve">Salario quincenall </t>
  </si>
  <si>
    <t xml:space="preserve">Ahora se hacen los $300 por cada año trabajado </t>
  </si>
  <si>
    <t xml:space="preserve">Pero además se saca proporción por número de días </t>
  </si>
  <si>
    <t xml:space="preserve">Regla de tres </t>
  </si>
  <si>
    <t xml:space="preserve">365 días </t>
  </si>
  <si>
    <t>x</t>
  </si>
  <si>
    <t>100 días</t>
  </si>
  <si>
    <t>Total</t>
  </si>
  <si>
    <t>a)</t>
  </si>
  <si>
    <t>b)</t>
  </si>
  <si>
    <t xml:space="preserve">No se apegan a la ley y lo hacen con su salario </t>
  </si>
  <si>
    <t>Tiempo</t>
  </si>
  <si>
    <t>Años</t>
  </si>
  <si>
    <t>Días</t>
  </si>
  <si>
    <t xml:space="preserve">Se sacan los años hasta el 30 de junio 2019 </t>
  </si>
  <si>
    <t xml:space="preserve">Días desde el 1 julio de 2019 hasta 25 marzo 2020 </t>
  </si>
  <si>
    <t>Salario Mensual</t>
  </si>
  <si>
    <t xml:space="preserve">Total por año </t>
  </si>
  <si>
    <t xml:space="preserve">Total </t>
  </si>
  <si>
    <t xml:space="preserve"> </t>
  </si>
  <si>
    <t>Período Trabajo</t>
  </si>
  <si>
    <t>Desde</t>
  </si>
  <si>
    <t xml:space="preserve">Hasta </t>
  </si>
  <si>
    <t xml:space="preserve">Año </t>
  </si>
  <si>
    <t xml:space="preserve">Días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</si>
  <si>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</si>
  <si>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</si>
  <si>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</si>
  <si>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</si>
  <si>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</si>
  <si>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</si>
  <si>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</si>
  <si>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</si>
  <si>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</si>
  <si>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</si>
  <si>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</si>
  <si>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</si>
  <si>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Días </t>
  </si>
  <si>
    <t>2020, 2024, 2028, 2032, 2036, 2040, 2044, 2052, 2056. Así, en 2020 contaremos con 366 días y un 29 de febrero.</t>
  </si>
  <si>
    <t>Año Bisiesto</t>
  </si>
  <si>
    <t>Total años</t>
  </si>
  <si>
    <t xml:space="preserve">Total días </t>
  </si>
  <si>
    <t xml:space="preserve">Total días Caso </t>
  </si>
  <si>
    <t xml:space="preserve">Salario Mensual </t>
  </si>
  <si>
    <t>Mes</t>
  </si>
  <si>
    <t xml:space="preserve">Días p/ cálculo </t>
  </si>
  <si>
    <t>Esto es cuando gana más de $1,200</t>
  </si>
  <si>
    <t>Renuncia voluntaria</t>
  </si>
  <si>
    <t>Indemnización</t>
  </si>
  <si>
    <t xml:space="preserve">Deberá ser el salario de 15 días </t>
  </si>
  <si>
    <t xml:space="preserve">Salario quincenal </t>
  </si>
  <si>
    <t>Quincena voluntaria</t>
  </si>
  <si>
    <t xml:space="preserve">Cálculo según ley con techo $600 y pago qiuncenal </t>
  </si>
  <si>
    <t xml:space="preserve">Total por días </t>
  </si>
  <si>
    <t xml:space="preserve">TOTAL PAGO </t>
  </si>
  <si>
    <t xml:space="preserve">Cálculo según sueldo por empresa buena onda </t>
  </si>
  <si>
    <t>Retiro voluntario con techo</t>
  </si>
  <si>
    <t xml:space="preserve">Despido injustificado superior al techo </t>
  </si>
  <si>
    <t xml:space="preserve">Indemnización por año </t>
  </si>
  <si>
    <t>Indemnización por días</t>
  </si>
  <si>
    <t xml:space="preserve">Indemización total </t>
  </si>
  <si>
    <t xml:space="preserve">DESPIDO INJUSTIFICADO INFERIOR AL TECHO </t>
  </si>
  <si>
    <t>TOTAL POR AÑO</t>
  </si>
  <si>
    <t xml:space="preserve">TOTAL POR DÍA </t>
  </si>
  <si>
    <t xml:space="preserve">Total  PAGAR </t>
  </si>
  <si>
    <t>AFP</t>
  </si>
  <si>
    <t>ISSS</t>
  </si>
  <si>
    <t>NONIFICACIONES</t>
  </si>
  <si>
    <t xml:space="preserve">LIQUIDO A PAGAR </t>
  </si>
  <si>
    <t>TOTAL DEVCENGADO</t>
  </si>
  <si>
    <t>SUELDO BASE</t>
  </si>
  <si>
    <t xml:space="preserve">EMPLEADO </t>
  </si>
  <si>
    <t xml:space="preserve">Código dice </t>
  </si>
  <si>
    <t>fijo</t>
  </si>
  <si>
    <t>variable</t>
  </si>
  <si>
    <t xml:space="preserve">que se hace un cálculo diario por día </t>
  </si>
  <si>
    <t xml:space="preserve">fijo diario </t>
  </si>
  <si>
    <t xml:space="preserve">SUMA </t>
  </si>
  <si>
    <t xml:space="preserve">DÍAS LABORABLES EN 6 MESES </t>
  </si>
  <si>
    <t>TOTAL DIVIDIDO LABORABLES</t>
  </si>
  <si>
    <t xml:space="preserve">variable diario </t>
  </si>
  <si>
    <t xml:space="preserve">salario diario básico de Roberto </t>
  </si>
  <si>
    <t xml:space="preserve">Si queremos dar vacaciones a Roberto se calculara con el salario básico diario </t>
  </si>
  <si>
    <t xml:space="preserve">Horas extra </t>
  </si>
  <si>
    <t xml:space="preserve">Salario por hora </t>
  </si>
  <si>
    <t xml:space="preserve">Slario por día </t>
  </si>
  <si>
    <t xml:space="preserve">Total de horas </t>
  </si>
  <si>
    <t>extraordinario es el doble, por hora diurna</t>
  </si>
  <si>
    <t>extraordinario hora extra nocturno</t>
  </si>
  <si>
    <t xml:space="preserve">Total horas nocturnas </t>
  </si>
  <si>
    <t>Total extra nocturno</t>
  </si>
  <si>
    <t xml:space="preserve">Total por pagar diurno extra </t>
  </si>
  <si>
    <t xml:space="preserve">Si es hora extra nocturna dentro de mi jornada normaldiurna se suma el 25% y se cobra dobble (2.25% más) </t>
  </si>
  <si>
    <t xml:space="preserve">Hora extra nocturna corrido </t>
  </si>
  <si>
    <t xml:space="preserve">Caso Elizabeth </t>
  </si>
  <si>
    <t xml:space="preserve">Salario por día </t>
  </si>
  <si>
    <t>Hora extra diurna (200%)</t>
  </si>
  <si>
    <t>Hora extra nocturna (225%)</t>
  </si>
  <si>
    <t>Total diurno horas</t>
  </si>
  <si>
    <t xml:space="preserve">Total noctuno horas </t>
  </si>
  <si>
    <t>Total diurno $</t>
  </si>
  <si>
    <t>Total nocturno $</t>
  </si>
  <si>
    <t>Jornada diurna: 8 horas diarias, 44 semanales</t>
  </si>
  <si>
    <t>Diurna: entre 6 am y 7 pm</t>
  </si>
  <si>
    <t>Jornada nocturna: 7 horas diarias, 39 semanales</t>
  </si>
  <si>
    <t>Nocturna: entre 7 pm y 6 am</t>
  </si>
  <si>
    <t>Total a pagar diario</t>
  </si>
  <si>
    <t xml:space="preserve">3 diurnas </t>
  </si>
  <si>
    <t xml:space="preserve">4 nocturnas </t>
  </si>
  <si>
    <t xml:space="preserve">Salario mensual </t>
  </si>
  <si>
    <t>Total horas diurnas (horas)</t>
  </si>
  <si>
    <t>Total horas nocturnas (horas)</t>
  </si>
  <si>
    <t>salario en día de descanso (50%)</t>
  </si>
  <si>
    <t xml:space="preserve">Pago total diario </t>
  </si>
  <si>
    <t xml:space="preserve">Hora extra diurna (200%) </t>
  </si>
  <si>
    <t>salario en día de Asueto  (200%)</t>
  </si>
  <si>
    <t xml:space="preserve">Salario por medio dia cuatro horas  </t>
  </si>
  <si>
    <t>Remuneración por día de descanso (50%)</t>
  </si>
  <si>
    <t xml:space="preserve">Cargo por remuneración en hora </t>
  </si>
  <si>
    <t xml:space="preserve">Además se dá un compensatorio independientemente del número de horas </t>
  </si>
  <si>
    <t>NORMAL (1 PERÍODO)</t>
  </si>
  <si>
    <t>Se divide en dos o trea partes regados en el año</t>
  </si>
  <si>
    <t xml:space="preserve">10 dias si son de dos </t>
  </si>
  <si>
    <t>y 7 días si son de tres</t>
  </si>
  <si>
    <t xml:space="preserve">Salario Quincenal </t>
  </si>
  <si>
    <t xml:space="preserve">Más monto por vacación(30%) </t>
  </si>
  <si>
    <t>art. 177 CT</t>
  </si>
  <si>
    <t xml:space="preserve">OTRA FORMA SON 19.5 DÍAS DE SALARIO </t>
  </si>
  <si>
    <t xml:space="preserve">Acá no aplican los techos como en indemnización </t>
  </si>
  <si>
    <t xml:space="preserve">Salario Diario </t>
  </si>
  <si>
    <t>SALARIO DIARIO POR 19.5 DIAS</t>
  </si>
  <si>
    <t>SALARIO MENSUAL POR 65%</t>
  </si>
  <si>
    <t xml:space="preserve">SEMANA SANTA </t>
  </si>
  <si>
    <t xml:space="preserve">AGOSTO </t>
  </si>
  <si>
    <t xml:space="preserve">DICIEMBRE </t>
  </si>
  <si>
    <t>7 DIAS</t>
  </si>
  <si>
    <t xml:space="preserve">SALARIO DIARIO POR SIETE DÍAS </t>
  </si>
  <si>
    <t>21 DIAS</t>
  </si>
  <si>
    <t>MAS MONTO POR VACACION (30%)</t>
  </si>
  <si>
    <t xml:space="preserve">Este monto se le da en cada período </t>
  </si>
  <si>
    <t xml:space="preserve">Entonces para vacación será </t>
  </si>
  <si>
    <t xml:space="preserve">Esto le sale del 1 al 6 de agosto </t>
  </si>
  <si>
    <t xml:space="preserve">Del 8 al 15 de agosto </t>
  </si>
  <si>
    <t xml:space="preserve">Total quincena </t>
  </si>
  <si>
    <t>VACACION (30%)</t>
  </si>
  <si>
    <t xml:space="preserve">DIARIO POR LOS DIAS QUE RESTAN </t>
  </si>
  <si>
    <t>15 DIAS +30% 1 VEZ EN EL AñO</t>
  </si>
  <si>
    <t>7 DÍAS POR EL 30% 3 VECES EN EL AÑO</t>
  </si>
  <si>
    <t xml:space="preserve">DE TRES PERÍODOS </t>
  </si>
  <si>
    <t xml:space="preserve">DE DOS PERIODOS SON 10 DIAS POR EL 30% 2 VECES AL DÍA </t>
  </si>
  <si>
    <t xml:space="preserve">SALARIO DIARIO POR 10 DÍAS </t>
  </si>
  <si>
    <t>DOS PERIODOS</t>
  </si>
  <si>
    <t>SEMANA SANTA</t>
  </si>
  <si>
    <t>SE LE DEBE SACAR A LOS DIAS QUE FUERONDE VACACION</t>
  </si>
  <si>
    <t xml:space="preserve">`salario ordinario </t>
  </si>
  <si>
    <t>por cumplir con mi jornada en condiciones noemales, tabien comisione xq esta denro de mis labores</t>
  </si>
  <si>
    <t xml:space="preserve">salario extraordinario </t>
  </si>
  <si>
    <t xml:space="preserve">cuando no tengo que trabajar según ley (asuetos) o las horas extras, dias de descanso </t>
  </si>
  <si>
    <t>Art. 196 C.T. en adelante:</t>
  </si>
  <si>
    <r>
      <t>a.</t>
    </r>
    <r>
      <rPr>
        <sz val="7"/>
        <color rgb="FF212121"/>
        <rFont val="Times New Roman"/>
        <family val="1"/>
      </rPr>
      <t xml:space="preserve">  </t>
    </r>
    <r>
      <rPr>
        <sz val="16"/>
        <color rgb="FF000000"/>
        <rFont val="Arial Narrow"/>
        <family val="2"/>
      </rPr>
      <t>15 días de salario para 0 a 3 años de trabajo</t>
    </r>
  </si>
  <si>
    <r>
      <t>b.</t>
    </r>
    <r>
      <rPr>
        <sz val="7"/>
        <color rgb="FF212121"/>
        <rFont val="Times New Roman"/>
        <family val="1"/>
      </rPr>
      <t xml:space="preserve">  </t>
    </r>
    <r>
      <rPr>
        <sz val="16"/>
        <color rgb="FF000000"/>
        <rFont val="Arial Narrow"/>
        <family val="2"/>
      </rPr>
      <t>19 días de salario para 3 a 10 años de trabajo</t>
    </r>
  </si>
  <si>
    <r>
      <t>c.</t>
    </r>
    <r>
      <rPr>
        <sz val="7"/>
        <color rgb="FF212121"/>
        <rFont val="Times New Roman"/>
        <family val="1"/>
      </rPr>
      <t xml:space="preserve">  </t>
    </r>
    <r>
      <rPr>
        <sz val="16"/>
        <color rgb="FF000000"/>
        <rFont val="Arial Narrow"/>
        <family val="2"/>
      </rPr>
      <t>21 días de salario para más de 10 años de trabajo</t>
    </r>
  </si>
  <si>
    <t>Aguinaldo    a</t>
  </si>
  <si>
    <t>Aguinaldo    b</t>
  </si>
  <si>
    <t>Aguinaldo    c</t>
  </si>
  <si>
    <t xml:space="preserve">Se hace igual que las vacaciones </t>
  </si>
  <si>
    <t xml:space="preserve">2 tipo s de aguinaldo proporcional: </t>
  </si>
  <si>
    <t>Cuando está trabajando y no lleva el añO</t>
  </si>
  <si>
    <t xml:space="preserve">Cuando lo despiden </t>
  </si>
  <si>
    <t xml:space="preserve">aguinaldo del 12-12 asl 11-12 del siguiente añO </t>
  </si>
  <si>
    <t xml:space="preserve">Aguinaldo se debe paragr </t>
  </si>
  <si>
    <t xml:space="preserve">proporcional aguinaldo días </t>
  </si>
  <si>
    <t xml:space="preserve">Días trabajados </t>
  </si>
  <si>
    <t xml:space="preserve">Aguinaldo </t>
  </si>
  <si>
    <t xml:space="preserve">Aunque se contrate en diciemnre es lo jismo </t>
  </si>
  <si>
    <t>Se despide antes del 12 de Diciembre</t>
  </si>
  <si>
    <t>salario diario</t>
  </si>
  <si>
    <t xml:space="preserve">Se cuenta desde el 12 de diciembre </t>
  </si>
  <si>
    <t>diciembre ano antes</t>
  </si>
  <si>
    <t xml:space="preserve">Salario mensuall </t>
  </si>
  <si>
    <t>Fecha inicio</t>
  </si>
  <si>
    <t>Fecha fin</t>
  </si>
  <si>
    <t>Anos</t>
  </si>
  <si>
    <t>Dias</t>
  </si>
  <si>
    <t xml:space="preserve">Poner categoria </t>
  </si>
  <si>
    <t>a 15</t>
  </si>
  <si>
    <t>b 19</t>
  </si>
  <si>
    <t>c 21</t>
  </si>
  <si>
    <t xml:space="preserve">Salario QUINCENAL </t>
  </si>
  <si>
    <t>A</t>
  </si>
  <si>
    <t>B</t>
  </si>
  <si>
    <t>C</t>
  </si>
  <si>
    <t>PONER DIAS AHÍ</t>
  </si>
  <si>
    <t xml:space="preserve">Vacaciones </t>
  </si>
  <si>
    <t>Salario diario promedio por comisión</t>
  </si>
  <si>
    <t xml:space="preserve">Ingresó </t>
  </si>
  <si>
    <t>Despido</t>
  </si>
  <si>
    <t>4 Años</t>
  </si>
  <si>
    <t>dias</t>
  </si>
  <si>
    <t>16 de mayo de 2016</t>
  </si>
  <si>
    <t>2 de julio de 2020</t>
  </si>
  <si>
    <t>Salario fijo mensual 3500</t>
  </si>
  <si>
    <t xml:space="preserve">Esto es el salario promedio diario  variable </t>
  </si>
  <si>
    <t xml:space="preserve">$3,500mensuales + comisiones </t>
  </si>
  <si>
    <t>Salario diario por 19.5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</si>
</sst>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;[Red]\-&quot;$&quot;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2222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2"/>
      <color rgb="FF212121"/>
      <name val="Arial Narrow"/>
      <family val="2"/>
    </font>
    <font>
      <sz val="11"/>
      <color rgb="FF212121"/>
      <name val="Arial"/>
      <family val="2"/>
    </font>
    <font>
      <sz val="16"/>
      <color rgb="FF212121"/>
      <name val="Arial Narrow"/>
      <family val="2"/>
    </font>
    <font>
      <sz val="18"/>
      <color rgb="FF212121"/>
      <name val="Arial"/>
      <family val="2"/>
    </font>
    <font>
      <sz val="7"/>
      <color rgb="FF212121"/>
      <name val="Times New Roman"/>
      <family val="1"/>
    </font>
    <font>
      <sz val="16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7">
    <xf numFmtId="0" fontId="0" fillId="0" borderId="0" xfId="0"/>
    <xf numFmtId="16" fontId="0" fillId="0" borderId="0" xfId="0" applyNumberFormat="1"/>
    <xf numFmtId="14" fontId="0" fillId="0" borderId="0" xfId="0" applyNumberFormat="1"/>
    <xf numFmtId="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8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 applyAlignment="1">
      <alignment horizontal="center"/>
    </xf>
    <xf numFmtId="8" fontId="3" fillId="0" borderId="0" xfId="0" applyNumberFormat="1" applyFont="1"/>
    <xf numFmtId="0" fontId="0" fillId="0" borderId="2" xfId="0" applyBorder="1"/>
    <xf numFmtId="8" fontId="0" fillId="0" borderId="3" xfId="0" applyNumberFormat="1" applyBorder="1"/>
    <xf numFmtId="2" fontId="0" fillId="0" borderId="0" xfId="0" applyNumberFormat="1"/>
    <xf numFmtId="15" fontId="0" fillId="0" borderId="0" xfId="0" applyNumberFormat="1"/>
    <xf numFmtId="6" fontId="0" fillId="0" borderId="3" xfId="0" applyNumberForma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1" applyNumberFormat="1" applyFont="1" applyBorder="1" applyAlignment="1">
      <alignment horizontal="center"/>
    </xf>
    <xf numFmtId="0" fontId="0" fillId="0" borderId="9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/>
    <xf numFmtId="44" fontId="0" fillId="0" borderId="0" xfId="0" applyNumberFormat="1"/>
    <xf numFmtId="14" fontId="0" fillId="0" borderId="4" xfId="0" applyNumberForma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4" xfId="0" applyBorder="1"/>
    <xf numFmtId="0" fontId="0" fillId="0" borderId="5" xfId="0" applyBorder="1"/>
    <xf numFmtId="0" fontId="0" fillId="0" borderId="17" xfId="0" applyBorder="1"/>
    <xf numFmtId="0" fontId="0" fillId="0" borderId="18" xfId="0" applyBorder="1"/>
    <xf numFmtId="0" fontId="3" fillId="0" borderId="15" xfId="0" applyFont="1" applyBorder="1"/>
    <xf numFmtId="0" fontId="3" fillId="0" borderId="17" xfId="0" applyFont="1" applyBorder="1"/>
    <xf numFmtId="0" fontId="3" fillId="0" borderId="18" xfId="0" applyFont="1" applyBorder="1"/>
    <xf numFmtId="2" fontId="3" fillId="0" borderId="16" xfId="0" applyNumberFormat="1" applyFont="1" applyBorder="1"/>
    <xf numFmtId="0" fontId="3" fillId="2" borderId="2" xfId="0" applyFont="1" applyFill="1" applyBorder="1" applyAlignment="1">
      <alignment horizontal="center"/>
    </xf>
    <xf numFmtId="0" fontId="3" fillId="0" borderId="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7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9" xfId="0" applyBorder="1" applyAlignment="1">
      <alignment horizontal="center"/>
    </xf>
    <xf numFmtId="0" fontId="0" fillId="0" borderId="13" xfId="0" applyBorder="1" applyAlignment="1">
      <alignment horizontal="center"/>
    </xf>
    <xf numFmtId="44" fontId="3" fillId="2" borderId="30" xfId="1" applyFont="1" applyFill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44" fontId="0" fillId="2" borderId="1" xfId="0" applyNumberFormat="1" applyFill="1" applyBorder="1"/>
    <xf numFmtId="0" fontId="3" fillId="0" borderId="0" xfId="1" applyNumberFormat="1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2" borderId="0" xfId="0" applyFill="1"/>
    <xf numFmtId="0" fontId="0" fillId="2" borderId="2" xfId="0" applyFill="1" applyBorder="1"/>
    <xf numFmtId="44" fontId="0" fillId="2" borderId="3" xfId="0" applyNumberFormat="1" applyFill="1" applyBorder="1"/>
    <xf numFmtId="0" fontId="3" fillId="2" borderId="2" xfId="0" applyFont="1" applyFill="1" applyBorder="1"/>
    <xf numFmtId="44" fontId="0" fillId="0" borderId="5" xfId="1" applyFont="1" applyBorder="1"/>
    <xf numFmtId="44" fontId="3" fillId="2" borderId="3" xfId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/>
    <xf numFmtId="0" fontId="3" fillId="0" borderId="4" xfId="0" applyFont="1" applyBorder="1" applyAlignment="1">
      <alignment horizontal="center" vertical="center" wrapText="1"/>
    </xf>
    <xf numFmtId="17" fontId="12" fillId="3" borderId="1" xfId="0" applyNumberFormat="1" applyFont="1" applyFill="1" applyBorder="1" applyAlignment="1">
      <alignment horizontal="justify" vertical="center" wrapText="1"/>
    </xf>
    <xf numFmtId="17" fontId="12" fillId="3" borderId="31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8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8" fontId="0" fillId="0" borderId="4" xfId="0" applyNumberFormat="1" applyBorder="1"/>
    <xf numFmtId="0" fontId="0" fillId="0" borderId="2" xfId="0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8" fontId="0" fillId="0" borderId="34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6" fontId="0" fillId="0" borderId="34" xfId="0" applyNumberFormat="1" applyBorder="1" applyAlignment="1">
      <alignment horizontal="center" vertical="center"/>
    </xf>
    <xf numFmtId="8" fontId="0" fillId="0" borderId="34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/>
    <xf numFmtId="44" fontId="0" fillId="0" borderId="4" xfId="1" applyFont="1" applyBorder="1"/>
    <xf numFmtId="44" fontId="0" fillId="0" borderId="34" xfId="1" applyFont="1" applyBorder="1"/>
    <xf numFmtId="44" fontId="0" fillId="0" borderId="34" xfId="0" applyNumberFormat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4" fontId="0" fillId="0" borderId="33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4" fontId="0" fillId="0" borderId="3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4" fontId="0" fillId="0" borderId="38" xfId="1" applyFont="1" applyBorder="1"/>
    <xf numFmtId="44" fontId="0" fillId="0" borderId="0" xfId="0" applyNumberFormat="1" applyBorder="1"/>
    <xf numFmtId="0" fontId="3" fillId="0" borderId="40" xfId="0" applyFont="1" applyBorder="1" applyAlignment="1">
      <alignment horizontal="center" vertical="center" wrapText="1"/>
    </xf>
    <xf numFmtId="44" fontId="0" fillId="0" borderId="8" xfId="1" applyFont="1" applyBorder="1"/>
    <xf numFmtId="0" fontId="0" fillId="0" borderId="41" xfId="0" applyBorder="1"/>
    <xf numFmtId="0" fontId="3" fillId="0" borderId="16" xfId="0" applyFont="1" applyFill="1" applyBorder="1" applyAlignment="1">
      <alignment horizontal="center" vertical="center" wrapText="1"/>
    </xf>
    <xf numFmtId="44" fontId="0" fillId="0" borderId="39" xfId="0" applyNumberFormat="1" applyBorder="1"/>
    <xf numFmtId="44" fontId="0" fillId="0" borderId="1" xfId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top" wrapText="1"/>
    </xf>
    <xf numFmtId="44" fontId="0" fillId="0" borderId="31" xfId="1" applyFont="1" applyBorder="1" applyAlignment="1">
      <alignment horizontal="center"/>
    </xf>
    <xf numFmtId="44" fontId="0" fillId="0" borderId="31" xfId="1" applyFont="1" applyBorder="1" applyAlignment="1">
      <alignment horizontal="center" vertical="top" wrapText="1"/>
    </xf>
    <xf numFmtId="0" fontId="0" fillId="2" borderId="25" xfId="0" applyFill="1" applyBorder="1"/>
    <xf numFmtId="0" fontId="0" fillId="2" borderId="4" xfId="0" applyFill="1" applyBorder="1"/>
    <xf numFmtId="0" fontId="2" fillId="2" borderId="0" xfId="1" applyNumberFormat="1" applyFont="1" applyFill="1" applyBorder="1" applyAlignment="1">
      <alignment horizontal="center"/>
    </xf>
    <xf numFmtId="4" fontId="14" fillId="0" borderId="0" xfId="0" applyNumberFormat="1" applyFont="1"/>
    <xf numFmtId="0" fontId="14" fillId="0" borderId="0" xfId="0" applyFont="1"/>
    <xf numFmtId="44" fontId="0" fillId="2" borderId="0" xfId="0" applyNumberFormat="1" applyFill="1" applyBorder="1"/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123825</xdr:rowOff>
    </xdr:from>
    <xdr:to>
      <xdr:col>8</xdr:col>
      <xdr:colOff>742950</xdr:colOff>
      <xdr:row>6</xdr:row>
      <xdr:rowOff>104775</xdr:rowOff>
    </xdr:to>
    <xdr:cxnSp macro="">
      <xdr:nvCxnSpPr>
        <xdr:cNvPr id="3" name="Conector recto de flecha 2"/>
        <xdr:cNvCxnSpPr/>
      </xdr:nvCxnSpPr>
      <xdr:spPr>
        <a:xfrm flipV="1">
          <a:off x="6705600" y="1076325"/>
          <a:ext cx="73342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6</xdr:row>
      <xdr:rowOff>104775</xdr:rowOff>
    </xdr:from>
    <xdr:to>
      <xdr:col>8</xdr:col>
      <xdr:colOff>714375</xdr:colOff>
      <xdr:row>7</xdr:row>
      <xdr:rowOff>85725</xdr:rowOff>
    </xdr:to>
    <xdr:cxnSp macro="">
      <xdr:nvCxnSpPr>
        <xdr:cNvPr id="5" name="Conector recto de flecha 4"/>
        <xdr:cNvCxnSpPr/>
      </xdr:nvCxnSpPr>
      <xdr:spPr>
        <a:xfrm>
          <a:off x="6715125" y="1247775"/>
          <a:ext cx="69532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3</xdr:row>
      <xdr:rowOff>0</xdr:rowOff>
    </xdr:from>
    <xdr:to>
      <xdr:col>7</xdr:col>
      <xdr:colOff>1047751</xdr:colOff>
      <xdr:row>4</xdr:row>
      <xdr:rowOff>9525</xdr:rowOff>
    </xdr:to>
    <xdr:cxnSp macro="">
      <xdr:nvCxnSpPr>
        <xdr:cNvPr id="3" name="Conector recto de flecha 2"/>
        <xdr:cNvCxnSpPr/>
      </xdr:nvCxnSpPr>
      <xdr:spPr>
        <a:xfrm flipH="1">
          <a:off x="6791325" y="571500"/>
          <a:ext cx="457201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1962150</xdr:colOff>
      <xdr:row>2</xdr:row>
      <xdr:rowOff>171450</xdr:rowOff>
    </xdr:from>
    <xdr:to>
      <xdr:col>8</xdr:col>
      <xdr:colOff>419100</xdr:colOff>
      <xdr:row>4</xdr:row>
      <xdr:rowOff>28575</xdr:rowOff>
    </xdr:to>
    <xdr:cxnSp macro="">
      <xdr:nvCxnSpPr>
        <xdr:cNvPr id="4" name="Conector recto de flecha 3"/>
        <xdr:cNvCxnSpPr/>
      </xdr:nvCxnSpPr>
      <xdr:spPr>
        <a:xfrm flipH="1">
          <a:off x="8162925" y="552450"/>
          <a:ext cx="70485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28</xdr:row>
      <xdr:rowOff>161925</xdr:rowOff>
    </xdr:from>
    <xdr:to>
      <xdr:col>5</xdr:col>
      <xdr:colOff>28575</xdr:colOff>
      <xdr:row>29</xdr:row>
      <xdr:rowOff>104775</xdr:rowOff>
    </xdr:to>
    <xdr:cxnSp macro="">
      <xdr:nvCxnSpPr>
        <xdr:cNvPr id="3" name="Conector recto de flecha 2"/>
        <xdr:cNvCxnSpPr/>
      </xdr:nvCxnSpPr>
      <xdr:spPr>
        <a:xfrm flipV="1">
          <a:off x="3429000" y="7286625"/>
          <a:ext cx="4095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29</xdr:row>
      <xdr:rowOff>85726</xdr:rowOff>
    </xdr:from>
    <xdr:to>
      <xdr:col>5</xdr:col>
      <xdr:colOff>28575</xdr:colOff>
      <xdr:row>30</xdr:row>
      <xdr:rowOff>142875</xdr:rowOff>
    </xdr:to>
    <xdr:cxnSp macro="">
      <xdr:nvCxnSpPr>
        <xdr:cNvPr id="4" name="Conector recto de flecha 3"/>
        <xdr:cNvCxnSpPr/>
      </xdr:nvCxnSpPr>
      <xdr:spPr>
        <a:xfrm>
          <a:off x="3429000" y="7410451"/>
          <a:ext cx="409575" cy="2476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8"/>
  <sheetViews>
    <sheetView workbookViewId="0">
      <selection activeCell="G24" sqref="G24"/>
    </sheetView>
  </sheetViews>
  <sheetFormatPr baseColWidth="10" defaultRowHeight="15" x14ac:dyDescent="0.25"/>
  <cols>
    <col min="3" max="3" width="19.140625" bestFit="1" customWidth="1"/>
    <col min="4" max="4" width="16.140625" customWidth="1"/>
    <col min="5" max="5" width="15.7109375" bestFit="1" customWidth="1"/>
  </cols>
  <sheetData>
    <row r="3" spans="4:15" x14ac:dyDescent="0.25">
      <c r="H3" s="4"/>
      <c r="I3" s="4"/>
      <c r="J3" s="4"/>
      <c r="K3" s="4"/>
      <c r="L3" s="4"/>
      <c r="M3" s="4"/>
    </row>
    <row r="4" spans="4:15" x14ac:dyDescent="0.25">
      <c r="H4" s="4"/>
      <c r="I4" s="4"/>
      <c r="J4" s="4"/>
      <c r="K4" s="4"/>
      <c r="L4" s="4"/>
      <c r="M4" s="4"/>
    </row>
    <row r="5" spans="4:15" x14ac:dyDescent="0.25">
      <c r="H5" s="8" t="s">
        <v>3</v>
      </c>
      <c r="I5" s="4"/>
      <c r="J5" s="4"/>
      <c r="K5" s="4"/>
      <c r="L5" s="8" t="s">
        <v>7</v>
      </c>
      <c r="M5" s="4"/>
      <c r="N5" t="s">
        <v>9</v>
      </c>
    </row>
    <row r="6" spans="4:15" x14ac:dyDescent="0.25">
      <c r="D6" s="7" t="s">
        <v>0</v>
      </c>
      <c r="E6" s="7" t="s">
        <v>1</v>
      </c>
      <c r="H6" s="4"/>
      <c r="I6" s="4"/>
      <c r="J6" s="4" t="s">
        <v>4</v>
      </c>
      <c r="K6" s="4"/>
      <c r="L6" s="4"/>
      <c r="M6" s="4"/>
      <c r="O6" s="12">
        <v>1200</v>
      </c>
    </row>
    <row r="7" spans="4:15" ht="15.75" thickBot="1" x14ac:dyDescent="0.3">
      <c r="H7" s="9">
        <v>2500</v>
      </c>
      <c r="I7" s="4"/>
      <c r="J7" s="4"/>
      <c r="K7" s="4"/>
      <c r="L7" s="8" t="s">
        <v>6</v>
      </c>
      <c r="M7" s="4"/>
      <c r="N7" t="s">
        <v>10</v>
      </c>
    </row>
    <row r="8" spans="4:15" ht="15.75" thickBot="1" x14ac:dyDescent="0.3">
      <c r="D8" s="2">
        <v>42430</v>
      </c>
      <c r="E8" t="s">
        <v>2</v>
      </c>
      <c r="H8" s="4"/>
      <c r="I8" s="4"/>
      <c r="J8" s="10" t="s">
        <v>5</v>
      </c>
      <c r="K8" s="4"/>
      <c r="L8" s="11">
        <v>20</v>
      </c>
      <c r="M8" s="4"/>
      <c r="N8" t="s">
        <v>11</v>
      </c>
    </row>
    <row r="9" spans="4:15" x14ac:dyDescent="0.25">
      <c r="D9" s="2">
        <v>43990</v>
      </c>
      <c r="H9" s="4"/>
      <c r="I9" s="4"/>
      <c r="J9" s="4"/>
      <c r="K9" s="4"/>
      <c r="L9" s="8" t="s">
        <v>8</v>
      </c>
      <c r="M9" s="4"/>
      <c r="N9" s="6">
        <v>300</v>
      </c>
      <c r="O9" t="s">
        <v>12</v>
      </c>
    </row>
    <row r="10" spans="4:15" x14ac:dyDescent="0.25">
      <c r="H10" s="4"/>
      <c r="I10" s="4"/>
      <c r="J10" s="4"/>
      <c r="K10" s="4"/>
      <c r="L10" s="11">
        <v>300</v>
      </c>
      <c r="M10" s="4"/>
      <c r="N10" t="s">
        <v>13</v>
      </c>
      <c r="O10" t="s">
        <v>14</v>
      </c>
    </row>
    <row r="11" spans="4:15" x14ac:dyDescent="0.25">
      <c r="H11" s="4"/>
      <c r="I11" s="4"/>
      <c r="J11" s="4"/>
      <c r="K11" s="4"/>
      <c r="L11" s="4"/>
      <c r="M11" s="4"/>
      <c r="N11" s="12">
        <v>82.19</v>
      </c>
    </row>
    <row r="12" spans="4:15" ht="15.75" thickBot="1" x14ac:dyDescent="0.3">
      <c r="H12" s="4"/>
      <c r="I12" s="4"/>
      <c r="J12" s="4"/>
      <c r="K12" s="4"/>
      <c r="L12" s="4"/>
      <c r="M12" s="4"/>
    </row>
    <row r="13" spans="4:15" ht="15.75" thickBot="1" x14ac:dyDescent="0.3">
      <c r="D13" s="1">
        <v>43921</v>
      </c>
      <c r="E13">
        <v>31</v>
      </c>
      <c r="L13" t="s">
        <v>16</v>
      </c>
      <c r="M13" s="13" t="s">
        <v>15</v>
      </c>
      <c r="N13" s="14">
        <f>O6+N11</f>
        <v>1282.19</v>
      </c>
    </row>
    <row r="14" spans="4:15" x14ac:dyDescent="0.25">
      <c r="D14" s="1">
        <v>43951</v>
      </c>
      <c r="E14">
        <v>30</v>
      </c>
    </row>
    <row r="15" spans="4:15" x14ac:dyDescent="0.25">
      <c r="D15" s="1">
        <v>43982</v>
      </c>
      <c r="E15">
        <v>31</v>
      </c>
    </row>
    <row r="16" spans="4:15" x14ac:dyDescent="0.25">
      <c r="D16" s="1">
        <v>43990</v>
      </c>
      <c r="E16">
        <v>8</v>
      </c>
    </row>
    <row r="17" spans="2:5" x14ac:dyDescent="0.25">
      <c r="E17">
        <f>SUM(E13:E16)</f>
        <v>100</v>
      </c>
    </row>
    <row r="21" spans="2:5" x14ac:dyDescent="0.25">
      <c r="B21" t="s">
        <v>18</v>
      </c>
    </row>
    <row r="22" spans="2:5" x14ac:dyDescent="0.25">
      <c r="B22" t="s">
        <v>17</v>
      </c>
    </row>
    <row r="23" spans="2:5" x14ac:dyDescent="0.25">
      <c r="B23">
        <v>4</v>
      </c>
      <c r="C23">
        <v>2500</v>
      </c>
      <c r="D23">
        <f>B23*C23</f>
        <v>10000</v>
      </c>
    </row>
    <row r="25" spans="2:5" x14ac:dyDescent="0.25">
      <c r="B25">
        <v>2500</v>
      </c>
      <c r="C25">
        <v>365</v>
      </c>
    </row>
    <row r="26" spans="2:5" x14ac:dyDescent="0.25">
      <c r="B26" t="s">
        <v>13</v>
      </c>
      <c r="C26">
        <v>100</v>
      </c>
    </row>
    <row r="27" spans="2:5" x14ac:dyDescent="0.25">
      <c r="C27" s="15">
        <f>(C26*B25)/C25</f>
        <v>684.93150684931504</v>
      </c>
    </row>
    <row r="28" spans="2:5" x14ac:dyDescent="0.25">
      <c r="C28" t="s">
        <v>15</v>
      </c>
      <c r="D28" s="15">
        <f>D23+C27</f>
        <v>10684.931506849314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3"/>
  <sheetViews>
    <sheetView topLeftCell="A43" workbookViewId="0">
      <selection activeCell="M56" sqref="M56"/>
    </sheetView>
  </sheetViews>
  <sheetFormatPr baseColWidth="10" defaultRowHeight="15" x14ac:dyDescent="0.25"/>
  <cols>
    <col min="1" max="1" width="44.85546875" customWidth="1"/>
    <col min="2" max="2" width="20" bestFit="1" customWidth="1"/>
    <col min="3" max="3" width="14.140625" bestFit="1" customWidth="1"/>
    <col min="4" max="4" width="15.28515625" customWidth="1"/>
    <col min="11" max="11" width="19.85546875" customWidth="1"/>
  </cols>
  <sheetData>
    <row r="2" spans="1:11" ht="20.25" x14ac:dyDescent="0.25">
      <c r="A2" s="133" t="s">
        <v>166</v>
      </c>
    </row>
    <row r="3" spans="1:11" ht="43.5" x14ac:dyDescent="0.25">
      <c r="A3" s="134" t="s">
        <v>167</v>
      </c>
    </row>
    <row r="4" spans="1:11" ht="43.5" x14ac:dyDescent="0.25">
      <c r="A4" s="134" t="s">
        <v>168</v>
      </c>
    </row>
    <row r="5" spans="1:11" ht="43.5" x14ac:dyDescent="0.25">
      <c r="A5" s="134" t="s">
        <v>169</v>
      </c>
    </row>
    <row r="6" spans="1:11" x14ac:dyDescent="0.25">
      <c r="A6" s="18"/>
    </row>
    <row r="7" spans="1:11" ht="15.75" thickBot="1" x14ac:dyDescent="0.3"/>
    <row r="8" spans="1:11" ht="30.75" thickBot="1" x14ac:dyDescent="0.3">
      <c r="D8" s="97" t="s">
        <v>51</v>
      </c>
      <c r="E8" s="98" t="s">
        <v>137</v>
      </c>
      <c r="F8" s="98" t="s">
        <v>170</v>
      </c>
      <c r="G8" s="98" t="s">
        <v>171</v>
      </c>
      <c r="H8" s="99" t="s">
        <v>172</v>
      </c>
      <c r="I8" s="121"/>
    </row>
    <row r="9" spans="1:11" x14ac:dyDescent="0.25">
      <c r="D9" s="113">
        <v>6468.3</v>
      </c>
      <c r="E9" s="113">
        <f>D9/30</f>
        <v>215.61</v>
      </c>
      <c r="F9" s="114">
        <f>E9*15</f>
        <v>3234.15</v>
      </c>
      <c r="G9" s="114">
        <f>E9*19</f>
        <v>4096.59</v>
      </c>
      <c r="H9" s="114">
        <f>E9*21</f>
        <v>4527.8100000000004</v>
      </c>
      <c r="I9" s="125"/>
    </row>
    <row r="10" spans="1:11" x14ac:dyDescent="0.25">
      <c r="D10" s="19"/>
      <c r="E10" s="19"/>
      <c r="F10" s="19"/>
      <c r="G10" s="19"/>
      <c r="H10" s="19"/>
      <c r="I10" s="78"/>
    </row>
    <row r="11" spans="1:11" x14ac:dyDescent="0.25">
      <c r="D11" s="19"/>
      <c r="E11" s="19"/>
      <c r="F11" s="19"/>
      <c r="G11" s="19"/>
      <c r="H11" s="19"/>
      <c r="I11" s="78"/>
    </row>
    <row r="13" spans="1:11" ht="60" x14ac:dyDescent="0.25">
      <c r="K13" s="90" t="s">
        <v>173</v>
      </c>
    </row>
    <row r="14" spans="1:11" x14ac:dyDescent="0.25">
      <c r="A14" t="s">
        <v>174</v>
      </c>
    </row>
    <row r="15" spans="1:11" x14ac:dyDescent="0.25">
      <c r="A15" t="s">
        <v>175</v>
      </c>
    </row>
    <row r="16" spans="1:11" x14ac:dyDescent="0.25">
      <c r="A16" t="s">
        <v>176</v>
      </c>
    </row>
    <row r="18" spans="1:13" x14ac:dyDescent="0.25">
      <c r="A18" t="s">
        <v>177</v>
      </c>
    </row>
    <row r="19" spans="1:13" x14ac:dyDescent="0.25">
      <c r="A19" t="s">
        <v>178</v>
      </c>
    </row>
    <row r="22" spans="1:13" ht="15.75" thickBot="1" x14ac:dyDescent="0.3"/>
    <row r="23" spans="1:13" ht="30" x14ac:dyDescent="0.25">
      <c r="C23" s="135" t="s">
        <v>51</v>
      </c>
      <c r="D23" s="136" t="s">
        <v>58</v>
      </c>
      <c r="L23" s="77" t="s">
        <v>180</v>
      </c>
      <c r="M23" s="54" t="s">
        <v>181</v>
      </c>
    </row>
    <row r="24" spans="1:13" ht="15.75" thickBot="1" x14ac:dyDescent="0.3">
      <c r="C24" s="137">
        <v>300</v>
      </c>
      <c r="D24" s="138">
        <f>C24/2</f>
        <v>150</v>
      </c>
      <c r="F24" s="70" t="s">
        <v>179</v>
      </c>
      <c r="G24" s="70"/>
      <c r="H24" s="70"/>
      <c r="L24" s="55">
        <f>C41</f>
        <v>11</v>
      </c>
      <c r="M24" s="139">
        <f>(G30*F29)/G29</f>
        <v>4.5205479452054798</v>
      </c>
    </row>
    <row r="28" spans="1:13" x14ac:dyDescent="0.25">
      <c r="A28" s="30" t="s">
        <v>52</v>
      </c>
      <c r="B28" s="36" t="s">
        <v>32</v>
      </c>
      <c r="C28" s="30" t="s">
        <v>53</v>
      </c>
    </row>
    <row r="29" spans="1:13" x14ac:dyDescent="0.25">
      <c r="A29" s="20" t="s">
        <v>33</v>
      </c>
      <c r="B29" s="32">
        <v>31</v>
      </c>
      <c r="C29" s="22"/>
      <c r="F29">
        <f>D24</f>
        <v>150</v>
      </c>
      <c r="G29">
        <v>365</v>
      </c>
    </row>
    <row r="30" spans="1:13" x14ac:dyDescent="0.25">
      <c r="A30" s="20" t="s">
        <v>34</v>
      </c>
      <c r="B30" s="32">
        <v>28</v>
      </c>
      <c r="C30" s="22"/>
      <c r="F30" t="s">
        <v>13</v>
      </c>
      <c r="G30">
        <f>C41</f>
        <v>11</v>
      </c>
    </row>
    <row r="31" spans="1:13" x14ac:dyDescent="0.25">
      <c r="A31" s="20" t="s">
        <v>35</v>
      </c>
      <c r="B31" s="32">
        <v>31</v>
      </c>
      <c r="C31" s="32"/>
    </row>
    <row r="32" spans="1:13" x14ac:dyDescent="0.25">
      <c r="A32" s="20" t="s">
        <v>36</v>
      </c>
      <c r="B32" s="32">
        <v>30</v>
      </c>
      <c r="C32" s="32"/>
    </row>
    <row r="33" spans="1:13" x14ac:dyDescent="0.25">
      <c r="A33" s="20" t="s">
        <v>37</v>
      </c>
      <c r="B33" s="32">
        <v>31</v>
      </c>
      <c r="C33" s="20">
        <v>11</v>
      </c>
    </row>
    <row r="34" spans="1:13" x14ac:dyDescent="0.25">
      <c r="A34" s="20" t="s">
        <v>38</v>
      </c>
      <c r="B34" s="32">
        <v>30</v>
      </c>
      <c r="C34" s="20"/>
    </row>
    <row r="35" spans="1:13" x14ac:dyDescent="0.25">
      <c r="A35" s="20" t="s">
        <v>39</v>
      </c>
      <c r="B35" s="32">
        <v>31</v>
      </c>
      <c r="C35" s="22"/>
    </row>
    <row r="36" spans="1:13" x14ac:dyDescent="0.25">
      <c r="A36" s="20" t="s">
        <v>40</v>
      </c>
      <c r="B36" s="32">
        <v>31</v>
      </c>
      <c r="C36" s="22"/>
    </row>
    <row r="37" spans="1:13" x14ac:dyDescent="0.25">
      <c r="A37" s="20" t="s">
        <v>41</v>
      </c>
      <c r="B37" s="32">
        <v>30</v>
      </c>
      <c r="C37" s="22"/>
    </row>
    <row r="38" spans="1:13" x14ac:dyDescent="0.25">
      <c r="A38" s="20" t="s">
        <v>42</v>
      </c>
      <c r="B38" s="32">
        <v>31</v>
      </c>
      <c r="C38" s="22"/>
      <c r="K38" s="70" t="s">
        <v>182</v>
      </c>
      <c r="L38" s="70"/>
      <c r="M38" s="70"/>
    </row>
    <row r="39" spans="1:13" x14ac:dyDescent="0.25">
      <c r="A39" s="20" t="s">
        <v>43</v>
      </c>
      <c r="B39" s="32">
        <v>30</v>
      </c>
      <c r="C39" s="22"/>
    </row>
    <row r="40" spans="1:13" ht="15.75" thickBot="1" x14ac:dyDescent="0.3">
      <c r="A40" s="31" t="s">
        <v>44</v>
      </c>
      <c r="B40" s="33">
        <v>31</v>
      </c>
      <c r="C40" s="22"/>
    </row>
    <row r="41" spans="1:13" ht="15.75" thickBot="1" x14ac:dyDescent="0.3">
      <c r="A41" s="23" t="s">
        <v>45</v>
      </c>
      <c r="B41" s="34">
        <f>SUM(B29:B40)</f>
        <v>365</v>
      </c>
      <c r="C41" s="69">
        <f>SUM(C29:C40)</f>
        <v>11</v>
      </c>
      <c r="D41" s="29" t="s">
        <v>50</v>
      </c>
    </row>
    <row r="42" spans="1:13" x14ac:dyDescent="0.25">
      <c r="A42" s="41"/>
      <c r="B42" s="64"/>
      <c r="C42" s="41"/>
      <c r="D42" s="51"/>
    </row>
    <row r="49" spans="1:14" x14ac:dyDescent="0.25">
      <c r="A49" t="s">
        <v>183</v>
      </c>
    </row>
    <row r="51" spans="1:14" x14ac:dyDescent="0.25">
      <c r="A51" t="s">
        <v>185</v>
      </c>
    </row>
    <row r="53" spans="1:14" x14ac:dyDescent="0.25">
      <c r="A53" s="140" t="s">
        <v>188</v>
      </c>
      <c r="B53" s="143" t="s">
        <v>207</v>
      </c>
      <c r="C53" s="140" t="s">
        <v>190</v>
      </c>
      <c r="D53" s="140" t="s">
        <v>191</v>
      </c>
    </row>
    <row r="54" spans="1:14" ht="15.75" thickBot="1" x14ac:dyDescent="0.3">
      <c r="A54" s="140" t="s">
        <v>189</v>
      </c>
      <c r="B54" s="143" t="s">
        <v>208</v>
      </c>
      <c r="C54" s="140">
        <v>8</v>
      </c>
      <c r="D54" s="140">
        <v>47</v>
      </c>
    </row>
    <row r="55" spans="1:14" ht="45.75" thickBot="1" x14ac:dyDescent="0.3">
      <c r="H55" s="97" t="s">
        <v>187</v>
      </c>
      <c r="I55" s="101" t="s">
        <v>196</v>
      </c>
      <c r="J55" s="98" t="s">
        <v>184</v>
      </c>
      <c r="K55" s="98" t="s">
        <v>192</v>
      </c>
      <c r="L55" s="98" t="s">
        <v>193</v>
      </c>
      <c r="M55" s="98" t="s">
        <v>194</v>
      </c>
      <c r="N55" s="99" t="s">
        <v>195</v>
      </c>
    </row>
    <row r="56" spans="1:14" x14ac:dyDescent="0.25">
      <c r="A56" s="30" t="s">
        <v>52</v>
      </c>
      <c r="B56" s="36" t="s">
        <v>32</v>
      </c>
      <c r="C56" s="30" t="s">
        <v>53</v>
      </c>
      <c r="H56" s="113">
        <v>5328</v>
      </c>
      <c r="I56" s="113">
        <f>H56/2</f>
        <v>2664</v>
      </c>
      <c r="J56" s="113">
        <f>H56/30</f>
        <v>177.6</v>
      </c>
      <c r="K56" s="113"/>
      <c r="L56" s="113">
        <f>J56*15</f>
        <v>2664</v>
      </c>
      <c r="M56" s="113">
        <f>J56*19</f>
        <v>3374.4</v>
      </c>
      <c r="N56" s="113">
        <f>J56*21</f>
        <v>3729.6</v>
      </c>
    </row>
    <row r="57" spans="1:14" x14ac:dyDescent="0.25">
      <c r="A57" s="20" t="s">
        <v>33</v>
      </c>
      <c r="B57" s="32">
        <v>31</v>
      </c>
      <c r="C57" s="32">
        <v>57</v>
      </c>
    </row>
    <row r="58" spans="1:14" x14ac:dyDescent="0.25">
      <c r="A58" s="20" t="s">
        <v>34</v>
      </c>
      <c r="B58" s="32">
        <v>29</v>
      </c>
      <c r="C58" s="32"/>
    </row>
    <row r="59" spans="1:14" x14ac:dyDescent="0.25">
      <c r="A59" s="20" t="s">
        <v>35</v>
      </c>
      <c r="B59" s="32">
        <v>31</v>
      </c>
      <c r="C59" s="32"/>
    </row>
    <row r="60" spans="1:14" x14ac:dyDescent="0.25">
      <c r="A60" s="20" t="s">
        <v>36</v>
      </c>
      <c r="B60" s="32">
        <v>30</v>
      </c>
      <c r="C60" s="32"/>
    </row>
    <row r="61" spans="1:14" x14ac:dyDescent="0.25">
      <c r="A61" s="20" t="s">
        <v>37</v>
      </c>
      <c r="B61" s="32">
        <v>31</v>
      </c>
      <c r="C61" s="32"/>
      <c r="F61" t="s">
        <v>197</v>
      </c>
      <c r="G61" s="38">
        <f>L56</f>
        <v>2664</v>
      </c>
      <c r="H61">
        <v>365</v>
      </c>
    </row>
    <row r="62" spans="1:14" x14ac:dyDescent="0.25">
      <c r="A62" s="20" t="s">
        <v>38</v>
      </c>
      <c r="B62" s="32">
        <v>30</v>
      </c>
      <c r="C62" s="32"/>
      <c r="G62">
        <f>(H62*G61)/H61</f>
        <v>561.99452054794517</v>
      </c>
      <c r="H62">
        <f>C72</f>
        <v>77</v>
      </c>
    </row>
    <row r="63" spans="1:14" x14ac:dyDescent="0.25">
      <c r="A63" s="20" t="s">
        <v>39</v>
      </c>
      <c r="B63" s="32">
        <v>31</v>
      </c>
      <c r="C63" s="22"/>
    </row>
    <row r="64" spans="1:14" x14ac:dyDescent="0.25">
      <c r="A64" s="20" t="s">
        <v>40</v>
      </c>
      <c r="B64" s="32">
        <v>31</v>
      </c>
      <c r="C64" s="22"/>
    </row>
    <row r="65" spans="1:8" x14ac:dyDescent="0.25">
      <c r="A65" s="20" t="s">
        <v>41</v>
      </c>
      <c r="B65" s="32">
        <v>30</v>
      </c>
      <c r="C65" s="22"/>
      <c r="F65" t="s">
        <v>198</v>
      </c>
      <c r="G65" s="38">
        <f>M56</f>
        <v>3374.4</v>
      </c>
      <c r="H65">
        <v>365</v>
      </c>
    </row>
    <row r="66" spans="1:8" x14ac:dyDescent="0.25">
      <c r="A66" s="20" t="s">
        <v>42</v>
      </c>
      <c r="B66" s="32">
        <v>31</v>
      </c>
      <c r="C66" s="22"/>
      <c r="G66" s="89">
        <f>(H66*G65)/H65</f>
        <v>711.8597260273973</v>
      </c>
      <c r="H66">
        <f>C72</f>
        <v>77</v>
      </c>
    </row>
    <row r="67" spans="1:8" x14ac:dyDescent="0.25">
      <c r="A67" s="20" t="s">
        <v>43</v>
      </c>
      <c r="B67" s="32">
        <v>30</v>
      </c>
      <c r="C67" s="22"/>
    </row>
    <row r="68" spans="1:8" ht="15.75" thickBot="1" x14ac:dyDescent="0.3">
      <c r="A68" s="31" t="s">
        <v>44</v>
      </c>
      <c r="B68" s="33">
        <v>31</v>
      </c>
      <c r="C68" s="22"/>
      <c r="F68" t="s">
        <v>199</v>
      </c>
      <c r="G68" s="38">
        <f>N56</f>
        <v>3729.6</v>
      </c>
      <c r="H68">
        <v>365</v>
      </c>
    </row>
    <row r="69" spans="1:8" ht="15.75" thickBot="1" x14ac:dyDescent="0.3">
      <c r="A69" s="23" t="s">
        <v>45</v>
      </c>
      <c r="B69" s="34">
        <f>SUM(B57:B68)</f>
        <v>366</v>
      </c>
      <c r="C69" s="69">
        <f>SUM(C57:C68)</f>
        <v>57</v>
      </c>
      <c r="D69" s="29" t="s">
        <v>50</v>
      </c>
      <c r="G69">
        <f>(H69*G68)/H68</f>
        <v>786.79232876712331</v>
      </c>
      <c r="H69">
        <f>C72</f>
        <v>77</v>
      </c>
    </row>
    <row r="70" spans="1:8" x14ac:dyDescent="0.25">
      <c r="A70" s="41"/>
      <c r="B70" s="64"/>
      <c r="C70" s="41"/>
      <c r="D70" s="51"/>
    </row>
    <row r="71" spans="1:8" ht="15.75" thickBot="1" x14ac:dyDescent="0.3">
      <c r="A71" s="24" t="s">
        <v>186</v>
      </c>
      <c r="B71" s="141">
        <v>20</v>
      </c>
    </row>
    <row r="72" spans="1:8" ht="15.75" thickBot="1" x14ac:dyDescent="0.3">
      <c r="A72" s="24" t="s">
        <v>200</v>
      </c>
      <c r="C72" s="66">
        <f>B71+C69</f>
        <v>77</v>
      </c>
    </row>
    <row r="73" spans="1:8" x14ac:dyDescent="0.25">
      <c r="C73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>
      <selection activeCell="K7" sqref="K7"/>
    </sheetView>
  </sheetViews>
  <sheetFormatPr baseColWidth="10" defaultRowHeight="15" x14ac:dyDescent="0.25"/>
  <cols>
    <col min="8" max="8" width="15" bestFit="1" customWidth="1"/>
  </cols>
  <sheetData>
    <row r="2" spans="2:11" x14ac:dyDescent="0.25">
      <c r="B2" t="s">
        <v>19</v>
      </c>
      <c r="C2" t="s">
        <v>20</v>
      </c>
      <c r="D2" t="s">
        <v>21</v>
      </c>
      <c r="H2" t="s">
        <v>24</v>
      </c>
      <c r="I2" t="s">
        <v>25</v>
      </c>
    </row>
    <row r="3" spans="2:11" x14ac:dyDescent="0.25">
      <c r="B3" s="16">
        <v>36342</v>
      </c>
      <c r="C3">
        <v>20</v>
      </c>
      <c r="D3">
        <v>268</v>
      </c>
      <c r="H3" s="3">
        <v>450</v>
      </c>
      <c r="I3">
        <v>20</v>
      </c>
      <c r="J3" s="3">
        <f>H3*I3</f>
        <v>9000</v>
      </c>
    </row>
    <row r="4" spans="2:11" x14ac:dyDescent="0.25">
      <c r="B4" s="16">
        <v>43915</v>
      </c>
      <c r="H4">
        <v>450</v>
      </c>
      <c r="I4">
        <v>365</v>
      </c>
    </row>
    <row r="5" spans="2:11" x14ac:dyDescent="0.25">
      <c r="H5" t="s">
        <v>13</v>
      </c>
      <c r="I5">
        <v>268</v>
      </c>
      <c r="J5">
        <f>(I5*H4)/I4</f>
        <v>330.41095890410958</v>
      </c>
    </row>
    <row r="6" spans="2:11" ht="15.75" thickBot="1" x14ac:dyDescent="0.3"/>
    <row r="7" spans="2:11" ht="15.75" thickBot="1" x14ac:dyDescent="0.3">
      <c r="I7" s="13" t="s">
        <v>26</v>
      </c>
      <c r="J7" s="17">
        <f>J3+J5</f>
        <v>9330.4109589041091</v>
      </c>
    </row>
    <row r="8" spans="2:11" x14ac:dyDescent="0.25">
      <c r="B8" t="s">
        <v>22</v>
      </c>
    </row>
    <row r="10" spans="2:11" x14ac:dyDescent="0.25">
      <c r="K10" t="s">
        <v>27</v>
      </c>
    </row>
    <row r="11" spans="2:11" x14ac:dyDescent="0.25">
      <c r="C11" t="s">
        <v>23</v>
      </c>
    </row>
    <row r="13" spans="2:11" x14ac:dyDescent="0.25">
      <c r="D13">
        <v>31</v>
      </c>
    </row>
    <row r="14" spans="2:11" x14ac:dyDescent="0.25">
      <c r="D14">
        <v>31</v>
      </c>
    </row>
    <row r="15" spans="2:11" x14ac:dyDescent="0.25">
      <c r="D15">
        <v>30</v>
      </c>
    </row>
    <row r="16" spans="2:11" x14ac:dyDescent="0.25">
      <c r="D16">
        <v>31</v>
      </c>
    </row>
    <row r="17" spans="4:4" x14ac:dyDescent="0.25">
      <c r="D17">
        <v>30</v>
      </c>
    </row>
    <row r="18" spans="4:4" x14ac:dyDescent="0.25">
      <c r="D18">
        <v>31</v>
      </c>
    </row>
    <row r="19" spans="4:4" x14ac:dyDescent="0.25">
      <c r="D19">
        <v>31</v>
      </c>
    </row>
    <row r="20" spans="4:4" x14ac:dyDescent="0.25">
      <c r="D20">
        <v>28</v>
      </c>
    </row>
    <row r="21" spans="4:4" x14ac:dyDescent="0.25">
      <c r="D21">
        <v>25</v>
      </c>
    </row>
    <row r="22" spans="4:4" x14ac:dyDescent="0.25">
      <c r="D22">
        <f>SUM(D13:D21)</f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7"/>
  <sheetViews>
    <sheetView topLeftCell="A28" workbookViewId="0">
      <selection activeCell="I40" sqref="I40"/>
    </sheetView>
  </sheetViews>
  <sheetFormatPr baseColWidth="10" defaultRowHeight="15" x14ac:dyDescent="0.25"/>
  <cols>
    <col min="2" max="2" width="14.85546875" bestFit="1" customWidth="1"/>
    <col min="3" max="3" width="14" bestFit="1" customWidth="1"/>
    <col min="4" max="4" width="14.28515625" bestFit="1" customWidth="1"/>
    <col min="6" max="6" width="18" bestFit="1" customWidth="1"/>
    <col min="7" max="7" width="15.5703125" bestFit="1" customWidth="1"/>
    <col min="8" max="8" width="15.42578125" customWidth="1"/>
    <col min="9" max="9" width="30.140625" customWidth="1"/>
    <col min="10" max="10" width="23.85546875" bestFit="1" customWidth="1"/>
    <col min="11" max="11" width="19" bestFit="1" customWidth="1"/>
    <col min="13" max="13" width="31.42578125" customWidth="1"/>
  </cols>
  <sheetData>
    <row r="3" spans="1:12" ht="21" x14ac:dyDescent="0.35">
      <c r="B3" s="161" t="s">
        <v>64</v>
      </c>
      <c r="C3" s="161"/>
      <c r="D3" s="161"/>
      <c r="E3" s="161"/>
      <c r="F3" s="161"/>
      <c r="G3" s="161"/>
      <c r="H3" s="161"/>
      <c r="I3" s="161"/>
      <c r="J3" t="s">
        <v>57</v>
      </c>
    </row>
    <row r="4" spans="1:12" x14ac:dyDescent="0.25">
      <c r="A4" s="30"/>
      <c r="B4" s="30" t="s">
        <v>28</v>
      </c>
      <c r="C4" s="30" t="s">
        <v>31</v>
      </c>
      <c r="D4" s="30" t="s">
        <v>32</v>
      </c>
      <c r="E4" s="30" t="s">
        <v>48</v>
      </c>
      <c r="F4" s="30" t="s">
        <v>49</v>
      </c>
      <c r="G4" s="30" t="s">
        <v>51</v>
      </c>
      <c r="H4" s="30" t="s">
        <v>58</v>
      </c>
      <c r="I4" s="40" t="s">
        <v>56</v>
      </c>
      <c r="J4" s="40" t="s">
        <v>55</v>
      </c>
      <c r="K4" s="40" t="s">
        <v>59</v>
      </c>
    </row>
    <row r="5" spans="1:12" x14ac:dyDescent="0.25">
      <c r="A5" s="30" t="s">
        <v>29</v>
      </c>
      <c r="B5" s="39">
        <v>42430</v>
      </c>
      <c r="C5" s="20"/>
      <c r="D5" s="20">
        <f>C25</f>
        <v>0</v>
      </c>
      <c r="E5" s="20">
        <f>C5</f>
        <v>0</v>
      </c>
      <c r="F5" s="20">
        <f>C25</f>
        <v>0</v>
      </c>
      <c r="G5" s="21"/>
      <c r="H5" s="21">
        <f>G5/2</f>
        <v>0</v>
      </c>
      <c r="I5" s="21">
        <v>1200</v>
      </c>
      <c r="J5" s="21">
        <v>600</v>
      </c>
      <c r="K5" s="21">
        <f>J5/2</f>
        <v>300</v>
      </c>
    </row>
    <row r="6" spans="1:12" x14ac:dyDescent="0.25">
      <c r="A6" s="30" t="s">
        <v>30</v>
      </c>
      <c r="B6" s="39">
        <v>43990</v>
      </c>
      <c r="C6" s="20"/>
      <c r="D6" s="20"/>
      <c r="E6" s="20"/>
      <c r="F6" s="20"/>
      <c r="G6" s="20"/>
      <c r="H6" s="20"/>
      <c r="I6" s="20"/>
      <c r="J6" s="20"/>
      <c r="K6" s="20"/>
    </row>
    <row r="10" spans="1:12" ht="15.75" thickBot="1" x14ac:dyDescent="0.3">
      <c r="H10" s="20">
        <f>E5</f>
        <v>0</v>
      </c>
      <c r="I10" s="20">
        <f>K5</f>
        <v>300</v>
      </c>
      <c r="J10" s="20">
        <f>H10*I10</f>
        <v>0</v>
      </c>
    </row>
    <row r="11" spans="1:12" ht="15.75" thickBot="1" x14ac:dyDescent="0.3">
      <c r="H11" s="28" t="s">
        <v>54</v>
      </c>
      <c r="I11" s="37"/>
      <c r="J11" s="29"/>
    </row>
    <row r="12" spans="1:12" ht="18.75" x14ac:dyDescent="0.3">
      <c r="A12" s="30" t="s">
        <v>52</v>
      </c>
      <c r="B12" s="36" t="s">
        <v>32</v>
      </c>
      <c r="C12" s="30" t="s">
        <v>53</v>
      </c>
      <c r="G12" s="162" t="s">
        <v>60</v>
      </c>
      <c r="H12" s="163"/>
      <c r="I12" s="164"/>
    </row>
    <row r="13" spans="1:12" ht="15.75" thickBot="1" x14ac:dyDescent="0.3">
      <c r="A13" s="20" t="s">
        <v>33</v>
      </c>
      <c r="B13" s="32">
        <v>31</v>
      </c>
      <c r="C13" s="20"/>
      <c r="G13" s="43"/>
      <c r="H13" s="74">
        <f>K5</f>
        <v>300</v>
      </c>
      <c r="I13" s="19">
        <v>365</v>
      </c>
    </row>
    <row r="14" spans="1:12" x14ac:dyDescent="0.25">
      <c r="A14" s="20" t="s">
        <v>34</v>
      </c>
      <c r="B14" s="32">
        <v>28</v>
      </c>
      <c r="C14" s="20"/>
      <c r="G14" s="46" t="s">
        <v>61</v>
      </c>
      <c r="H14" s="49">
        <f>(I14*H13)/I13</f>
        <v>0</v>
      </c>
      <c r="I14" s="42">
        <f>C25</f>
        <v>0</v>
      </c>
    </row>
    <row r="15" spans="1:12" ht="16.5" thickBot="1" x14ac:dyDescent="0.3">
      <c r="A15" s="20" t="s">
        <v>35</v>
      </c>
      <c r="B15" s="32">
        <v>31</v>
      </c>
      <c r="C15" s="20"/>
      <c r="G15" s="47" t="s">
        <v>25</v>
      </c>
      <c r="H15" s="48">
        <f>J10</f>
        <v>0</v>
      </c>
      <c r="I15" s="42"/>
      <c r="J15" s="165" t="s">
        <v>60</v>
      </c>
      <c r="K15" s="166"/>
      <c r="L15" s="167"/>
    </row>
    <row r="16" spans="1:12" ht="15.75" thickBot="1" x14ac:dyDescent="0.3">
      <c r="A16" s="20" t="s">
        <v>36</v>
      </c>
      <c r="B16" s="32">
        <v>30</v>
      </c>
      <c r="C16" s="20"/>
      <c r="J16" s="50" t="s">
        <v>62</v>
      </c>
      <c r="K16" s="75">
        <f>H14+H15</f>
        <v>0</v>
      </c>
    </row>
    <row r="17" spans="1:12" x14ac:dyDescent="0.25">
      <c r="A17" s="20" t="s">
        <v>37</v>
      </c>
      <c r="B17" s="32">
        <v>31</v>
      </c>
      <c r="C17" s="20"/>
      <c r="K17" s="3"/>
    </row>
    <row r="18" spans="1:12" x14ac:dyDescent="0.25">
      <c r="A18" s="20" t="s">
        <v>38</v>
      </c>
      <c r="B18" s="32">
        <v>30</v>
      </c>
      <c r="C18" s="20"/>
      <c r="G18" s="20">
        <f>C5</f>
        <v>0</v>
      </c>
      <c r="H18" s="20">
        <f>G5</f>
        <v>0</v>
      </c>
      <c r="I18" s="20">
        <f>G18*H18</f>
        <v>0</v>
      </c>
    </row>
    <row r="19" spans="1:12" x14ac:dyDescent="0.25">
      <c r="A19" s="20" t="s">
        <v>39</v>
      </c>
      <c r="B19" s="32">
        <v>31</v>
      </c>
      <c r="C19" s="20"/>
      <c r="K19" s="51"/>
      <c r="L19" s="51"/>
    </row>
    <row r="20" spans="1:12" ht="19.5" thickBot="1" x14ac:dyDescent="0.35">
      <c r="A20" s="20" t="s">
        <v>40</v>
      </c>
      <c r="B20" s="32">
        <v>31</v>
      </c>
      <c r="C20" s="20"/>
      <c r="G20" s="162" t="s">
        <v>63</v>
      </c>
      <c r="H20" s="163"/>
      <c r="I20" s="164"/>
      <c r="J20" s="168" t="s">
        <v>63</v>
      </c>
      <c r="K20" s="169"/>
      <c r="L20" s="170"/>
    </row>
    <row r="21" spans="1:12" ht="15.75" thickBot="1" x14ac:dyDescent="0.3">
      <c r="A21" s="20" t="s">
        <v>41</v>
      </c>
      <c r="B21" s="32">
        <v>30</v>
      </c>
      <c r="C21" s="20"/>
      <c r="G21" s="43"/>
      <c r="H21" s="43">
        <f>G5</f>
        <v>0</v>
      </c>
      <c r="I21" s="19">
        <v>365</v>
      </c>
      <c r="J21" s="50" t="s">
        <v>62</v>
      </c>
      <c r="K21" s="75">
        <f>H22+H23</f>
        <v>0</v>
      </c>
    </row>
    <row r="22" spans="1:12" x14ac:dyDescent="0.25">
      <c r="A22" s="20" t="s">
        <v>42</v>
      </c>
      <c r="B22" s="32">
        <v>31</v>
      </c>
      <c r="C22" s="20"/>
      <c r="G22" s="46" t="s">
        <v>61</v>
      </c>
      <c r="H22" s="49">
        <f>(I22*H21)/I21</f>
        <v>0</v>
      </c>
      <c r="I22" s="42">
        <f>C25</f>
        <v>0</v>
      </c>
    </row>
    <row r="23" spans="1:12" ht="15.75" thickBot="1" x14ac:dyDescent="0.3">
      <c r="A23" s="20" t="s">
        <v>43</v>
      </c>
      <c r="B23" s="32">
        <v>30</v>
      </c>
      <c r="C23" s="20"/>
      <c r="G23" s="47" t="s">
        <v>25</v>
      </c>
      <c r="H23" s="48">
        <f>I18</f>
        <v>0</v>
      </c>
      <c r="I23" s="42"/>
    </row>
    <row r="24" spans="1:12" ht="15.75" thickBot="1" x14ac:dyDescent="0.3">
      <c r="A24" s="31" t="s">
        <v>44</v>
      </c>
      <c r="B24" s="33">
        <v>31</v>
      </c>
      <c r="C24" s="31"/>
    </row>
    <row r="25" spans="1:12" ht="15.75" thickBot="1" x14ac:dyDescent="0.3">
      <c r="A25" s="23" t="s">
        <v>45</v>
      </c>
      <c r="B25" s="34">
        <f>SUM(B13:B24)</f>
        <v>365</v>
      </c>
      <c r="C25" s="35">
        <f>SUM(C13:C24)</f>
        <v>0</v>
      </c>
      <c r="D25" s="29" t="s">
        <v>50</v>
      </c>
    </row>
    <row r="27" spans="1:12" ht="15.75" x14ac:dyDescent="0.25">
      <c r="A27" s="25" t="s">
        <v>47</v>
      </c>
      <c r="B27" s="26" t="s">
        <v>46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30" spans="1:12" ht="15" customHeight="1" x14ac:dyDescent="0.25">
      <c r="A30" s="154" t="s">
        <v>65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</row>
    <row r="31" spans="1:12" x14ac:dyDescent="0.25">
      <c r="A31" s="30"/>
      <c r="B31" s="30" t="s">
        <v>28</v>
      </c>
      <c r="C31" s="30" t="s">
        <v>31</v>
      </c>
      <c r="D31" s="30" t="s">
        <v>32</v>
      </c>
      <c r="E31" s="30" t="s">
        <v>48</v>
      </c>
      <c r="F31" s="30" t="s">
        <v>49</v>
      </c>
      <c r="G31" s="30" t="s">
        <v>51</v>
      </c>
      <c r="H31" s="30" t="s">
        <v>58</v>
      </c>
      <c r="I31" s="40" t="s">
        <v>56</v>
      </c>
      <c r="J31" s="40"/>
      <c r="K31" s="40"/>
    </row>
    <row r="32" spans="1:12" x14ac:dyDescent="0.25">
      <c r="A32" s="30" t="s">
        <v>29</v>
      </c>
      <c r="B32" s="19"/>
      <c r="C32" s="20">
        <v>8</v>
      </c>
      <c r="D32" s="20">
        <v>57</v>
      </c>
      <c r="E32" s="20">
        <f>C32</f>
        <v>8</v>
      </c>
      <c r="F32" s="20">
        <f>C49</f>
        <v>57</v>
      </c>
      <c r="G32" s="30">
        <v>1200</v>
      </c>
      <c r="H32" s="20">
        <f>G32/2</f>
        <v>600</v>
      </c>
      <c r="I32" s="20">
        <v>1200</v>
      </c>
      <c r="J32" s="20"/>
      <c r="K32" s="20"/>
    </row>
    <row r="33" spans="1:11" x14ac:dyDescent="0.25">
      <c r="A33" s="30" t="s">
        <v>30</v>
      </c>
      <c r="B33" s="19"/>
      <c r="C33" s="20"/>
      <c r="D33" s="20"/>
      <c r="E33" s="20"/>
      <c r="F33" s="20"/>
      <c r="G33" s="20"/>
      <c r="H33" s="20"/>
      <c r="I33" s="20"/>
      <c r="J33" s="20"/>
      <c r="K33" s="20"/>
    </row>
    <row r="35" spans="1:11" ht="15.75" thickBot="1" x14ac:dyDescent="0.3"/>
    <row r="36" spans="1:11" ht="15.75" thickBot="1" x14ac:dyDescent="0.3">
      <c r="A36" s="30" t="s">
        <v>52</v>
      </c>
      <c r="B36" s="36" t="s">
        <v>32</v>
      </c>
      <c r="C36" s="30" t="s">
        <v>53</v>
      </c>
      <c r="F36" s="155" t="s">
        <v>66</v>
      </c>
      <c r="G36" s="156"/>
      <c r="H36" s="157"/>
    </row>
    <row r="37" spans="1:11" x14ac:dyDescent="0.25">
      <c r="A37" s="20" t="s">
        <v>33</v>
      </c>
      <c r="B37" s="32">
        <v>31</v>
      </c>
      <c r="C37" s="20"/>
      <c r="F37" s="59">
        <f>G32</f>
        <v>1200</v>
      </c>
      <c r="G37" s="60">
        <f>E32</f>
        <v>8</v>
      </c>
      <c r="H37" s="61">
        <f>F37*G37</f>
        <v>9600</v>
      </c>
    </row>
    <row r="38" spans="1:11" x14ac:dyDescent="0.25">
      <c r="A38" s="20" t="s">
        <v>34</v>
      </c>
      <c r="B38" s="32">
        <v>28</v>
      </c>
      <c r="C38" s="20"/>
      <c r="F38" s="158" t="s">
        <v>67</v>
      </c>
      <c r="G38" s="159"/>
      <c r="H38" s="160"/>
    </row>
    <row r="39" spans="1:11" x14ac:dyDescent="0.25">
      <c r="A39" s="20" t="s">
        <v>35</v>
      </c>
      <c r="B39" s="32">
        <v>31</v>
      </c>
      <c r="C39" s="32"/>
      <c r="F39" s="62">
        <f>(C49*G32)/365</f>
        <v>187.39726027397259</v>
      </c>
      <c r="G39" s="20"/>
      <c r="H39" s="20"/>
    </row>
    <row r="40" spans="1:11" x14ac:dyDescent="0.25">
      <c r="A40" s="20" t="s">
        <v>36</v>
      </c>
      <c r="B40" s="32">
        <v>30</v>
      </c>
      <c r="C40" s="32"/>
    </row>
    <row r="41" spans="1:11" ht="15.75" thickBot="1" x14ac:dyDescent="0.3">
      <c r="A41" s="20" t="s">
        <v>37</v>
      </c>
      <c r="B41" s="32">
        <v>31</v>
      </c>
      <c r="C41" s="32"/>
    </row>
    <row r="42" spans="1:11" ht="15.75" thickBot="1" x14ac:dyDescent="0.3">
      <c r="A42" s="20" t="s">
        <v>38</v>
      </c>
      <c r="B42" s="32">
        <v>30</v>
      </c>
      <c r="C42" s="20">
        <v>57</v>
      </c>
      <c r="F42" t="s">
        <v>68</v>
      </c>
      <c r="H42" s="63">
        <f>H37+F39</f>
        <v>9787.3972602739723</v>
      </c>
    </row>
    <row r="43" spans="1:11" x14ac:dyDescent="0.25">
      <c r="A43" s="20" t="s">
        <v>39</v>
      </c>
      <c r="B43" s="32">
        <v>31</v>
      </c>
      <c r="C43" s="20"/>
    </row>
    <row r="44" spans="1:11" x14ac:dyDescent="0.25">
      <c r="A44" s="20" t="s">
        <v>40</v>
      </c>
      <c r="B44" s="32">
        <v>31</v>
      </c>
      <c r="C44" s="20"/>
    </row>
    <row r="45" spans="1:11" x14ac:dyDescent="0.25">
      <c r="A45" s="20" t="s">
        <v>41</v>
      </c>
      <c r="B45" s="32">
        <v>30</v>
      </c>
      <c r="C45" s="20"/>
    </row>
    <row r="46" spans="1:11" x14ac:dyDescent="0.25">
      <c r="A46" s="20" t="s">
        <v>42</v>
      </c>
      <c r="B46" s="32">
        <v>31</v>
      </c>
      <c r="C46" s="20"/>
    </row>
    <row r="47" spans="1:11" x14ac:dyDescent="0.25">
      <c r="A47" s="20" t="s">
        <v>43</v>
      </c>
      <c r="B47" s="32">
        <v>30</v>
      </c>
      <c r="C47" s="20"/>
    </row>
    <row r="48" spans="1:11" ht="15.75" thickBot="1" x14ac:dyDescent="0.3">
      <c r="A48" s="31" t="s">
        <v>44</v>
      </c>
      <c r="B48" s="33">
        <v>31</v>
      </c>
      <c r="C48" s="31"/>
    </row>
    <row r="49" spans="1:9" ht="15.75" thickBot="1" x14ac:dyDescent="0.3">
      <c r="A49" s="23" t="s">
        <v>45</v>
      </c>
      <c r="B49" s="34">
        <f>SUM(B37:B48)</f>
        <v>365</v>
      </c>
      <c r="C49" s="35">
        <f>SUM(C39:C48)</f>
        <v>57</v>
      </c>
      <c r="D49" s="29" t="s">
        <v>50</v>
      </c>
    </row>
    <row r="50" spans="1:9" x14ac:dyDescent="0.25">
      <c r="A50" s="41"/>
      <c r="B50" s="64"/>
      <c r="C50" s="41"/>
      <c r="D50" s="51"/>
    </row>
    <row r="51" spans="1:9" x14ac:dyDescent="0.25">
      <c r="A51" s="41"/>
      <c r="B51" s="64"/>
      <c r="C51" s="41"/>
      <c r="D51" s="51"/>
    </row>
    <row r="52" spans="1:9" x14ac:dyDescent="0.25">
      <c r="A52" s="149" t="s">
        <v>69</v>
      </c>
      <c r="B52" s="149"/>
      <c r="C52" s="149"/>
      <c r="D52" s="149"/>
      <c r="E52" s="149"/>
      <c r="F52" s="149"/>
      <c r="G52" s="149"/>
      <c r="H52" s="149"/>
      <c r="I52" s="149"/>
    </row>
    <row r="53" spans="1:9" x14ac:dyDescent="0.25">
      <c r="A53" s="30"/>
      <c r="B53" s="30" t="s">
        <v>28</v>
      </c>
      <c r="C53" s="30" t="s">
        <v>31</v>
      </c>
      <c r="D53" s="30" t="s">
        <v>32</v>
      </c>
      <c r="E53" s="30" t="s">
        <v>48</v>
      </c>
      <c r="F53" s="30" t="s">
        <v>49</v>
      </c>
      <c r="G53" s="30" t="s">
        <v>51</v>
      </c>
      <c r="H53" s="30" t="s">
        <v>58</v>
      </c>
      <c r="I53" s="40" t="s">
        <v>56</v>
      </c>
    </row>
    <row r="54" spans="1:9" x14ac:dyDescent="0.25">
      <c r="A54" s="30" t="s">
        <v>29</v>
      </c>
      <c r="B54" s="39">
        <v>36342</v>
      </c>
      <c r="C54" s="20"/>
      <c r="D54" s="20">
        <f>C76</f>
        <v>0</v>
      </c>
      <c r="E54" s="20">
        <f>C54</f>
        <v>0</v>
      </c>
      <c r="F54" s="20">
        <f>D54</f>
        <v>0</v>
      </c>
      <c r="G54" s="30"/>
      <c r="H54" s="20">
        <f>G54/2</f>
        <v>0</v>
      </c>
      <c r="I54" s="20"/>
    </row>
    <row r="55" spans="1:9" x14ac:dyDescent="0.25">
      <c r="A55" s="30" t="s">
        <v>30</v>
      </c>
      <c r="B55" s="39">
        <v>43915</v>
      </c>
      <c r="C55" s="20"/>
      <c r="D55" s="20"/>
      <c r="E55" s="20"/>
      <c r="F55" s="20"/>
      <c r="G55" s="20"/>
      <c r="H55" s="20"/>
      <c r="I55" s="20"/>
    </row>
    <row r="60" spans="1:9" ht="15.75" thickBot="1" x14ac:dyDescent="0.3">
      <c r="F60" s="150" t="s">
        <v>70</v>
      </c>
      <c r="G60" s="150"/>
      <c r="H60" s="151"/>
    </row>
    <row r="61" spans="1:9" ht="15.75" thickBot="1" x14ac:dyDescent="0.3">
      <c r="F61" s="30">
        <f>E54</f>
        <v>0</v>
      </c>
      <c r="G61" s="36">
        <f>G54</f>
        <v>0</v>
      </c>
      <c r="H61" s="67">
        <f>F61*G61</f>
        <v>0</v>
      </c>
    </row>
    <row r="63" spans="1:9" x14ac:dyDescent="0.25">
      <c r="A63" s="30" t="s">
        <v>52</v>
      </c>
      <c r="B63" s="36" t="s">
        <v>32</v>
      </c>
      <c r="C63" s="30" t="s">
        <v>53</v>
      </c>
    </row>
    <row r="64" spans="1:9" ht="15.75" thickBot="1" x14ac:dyDescent="0.3">
      <c r="A64" s="20" t="s">
        <v>33</v>
      </c>
      <c r="B64" s="32">
        <v>31</v>
      </c>
      <c r="C64" s="22"/>
      <c r="F64" s="152" t="s">
        <v>71</v>
      </c>
      <c r="G64" s="153"/>
      <c r="H64" s="152"/>
    </row>
    <row r="65" spans="1:8" ht="15.75" thickBot="1" x14ac:dyDescent="0.3">
      <c r="A65" s="20" t="s">
        <v>34</v>
      </c>
      <c r="B65" s="32">
        <v>28</v>
      </c>
      <c r="C65" s="22"/>
      <c r="F65" s="65"/>
      <c r="G65" s="68">
        <f>(C76*G54)/365</f>
        <v>0</v>
      </c>
      <c r="H65" s="42"/>
    </row>
    <row r="66" spans="1:8" ht="15.75" thickBot="1" x14ac:dyDescent="0.3">
      <c r="A66" s="20" t="s">
        <v>35</v>
      </c>
      <c r="B66" s="32">
        <v>31</v>
      </c>
      <c r="C66" s="20"/>
    </row>
    <row r="67" spans="1:8" ht="15.75" thickBot="1" x14ac:dyDescent="0.3">
      <c r="A67" s="20" t="s">
        <v>36</v>
      </c>
      <c r="B67" s="32">
        <v>30</v>
      </c>
      <c r="C67" s="20"/>
      <c r="F67" s="73" t="s">
        <v>72</v>
      </c>
      <c r="G67" s="72">
        <f>G65+H61</f>
        <v>0</v>
      </c>
    </row>
    <row r="68" spans="1:8" x14ac:dyDescent="0.25">
      <c r="A68" s="20" t="s">
        <v>37</v>
      </c>
      <c r="B68" s="32">
        <v>31</v>
      </c>
      <c r="C68" s="20"/>
    </row>
    <row r="69" spans="1:8" x14ac:dyDescent="0.25">
      <c r="A69" s="20" t="s">
        <v>38</v>
      </c>
      <c r="B69" s="32">
        <v>30</v>
      </c>
      <c r="C69" s="20"/>
    </row>
    <row r="70" spans="1:8" x14ac:dyDescent="0.25">
      <c r="A70" s="20" t="s">
        <v>39</v>
      </c>
      <c r="B70" s="32">
        <v>31</v>
      </c>
      <c r="C70" s="22"/>
    </row>
    <row r="71" spans="1:8" x14ac:dyDescent="0.25">
      <c r="A71" s="20" t="s">
        <v>40</v>
      </c>
      <c r="B71" s="32">
        <v>31</v>
      </c>
      <c r="C71" s="22"/>
    </row>
    <row r="72" spans="1:8" x14ac:dyDescent="0.25">
      <c r="A72" s="20" t="s">
        <v>41</v>
      </c>
      <c r="B72" s="32">
        <v>30</v>
      </c>
      <c r="C72" s="22"/>
    </row>
    <row r="73" spans="1:8" x14ac:dyDescent="0.25">
      <c r="A73" s="20" t="s">
        <v>42</v>
      </c>
      <c r="B73" s="32">
        <v>31</v>
      </c>
      <c r="C73" s="22"/>
    </row>
    <row r="74" spans="1:8" x14ac:dyDescent="0.25">
      <c r="A74" s="20" t="s">
        <v>43</v>
      </c>
      <c r="B74" s="32">
        <v>30</v>
      </c>
      <c r="C74" s="22"/>
    </row>
    <row r="75" spans="1:8" ht="15.75" thickBot="1" x14ac:dyDescent="0.3">
      <c r="A75" s="31" t="s">
        <v>44</v>
      </c>
      <c r="B75" s="33">
        <v>31</v>
      </c>
      <c r="C75" s="22"/>
    </row>
    <row r="76" spans="1:8" ht="15.75" thickBot="1" x14ac:dyDescent="0.3">
      <c r="A76" s="23" t="s">
        <v>45</v>
      </c>
      <c r="B76" s="34">
        <f>SUM(B64:B75)</f>
        <v>365</v>
      </c>
      <c r="C76" s="69">
        <f>SUM(C64:C75)</f>
        <v>0</v>
      </c>
      <c r="D76" s="29" t="s">
        <v>50</v>
      </c>
    </row>
    <row r="77" spans="1:8" x14ac:dyDescent="0.25">
      <c r="A77" s="41"/>
      <c r="B77" s="64"/>
      <c r="C77" s="41"/>
      <c r="D77" s="51"/>
    </row>
  </sheetData>
  <mergeCells count="11">
    <mergeCell ref="B3:I3"/>
    <mergeCell ref="G12:I12"/>
    <mergeCell ref="G20:I20"/>
    <mergeCell ref="J15:L15"/>
    <mergeCell ref="J20:L20"/>
    <mergeCell ref="A52:I52"/>
    <mergeCell ref="F60:H60"/>
    <mergeCell ref="F64:H64"/>
    <mergeCell ref="A30:K30"/>
    <mergeCell ref="F36:H36"/>
    <mergeCell ref="F38:H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2"/>
  <sheetViews>
    <sheetView workbookViewId="0">
      <selection activeCell="H17" sqref="H17"/>
    </sheetView>
  </sheetViews>
  <sheetFormatPr baseColWidth="10" defaultRowHeight="15" x14ac:dyDescent="0.25"/>
  <cols>
    <col min="2" max="2" width="33" customWidth="1"/>
    <col min="7" max="7" width="21.28515625" bestFit="1" customWidth="1"/>
    <col min="8" max="8" width="16.5703125" bestFit="1" customWidth="1"/>
    <col min="9" max="9" width="17.28515625" bestFit="1" customWidth="1"/>
  </cols>
  <sheetData>
    <row r="4" spans="2:9" ht="30" x14ac:dyDescent="0.25">
      <c r="B4" s="79" t="s">
        <v>79</v>
      </c>
      <c r="C4" s="79" t="s">
        <v>78</v>
      </c>
      <c r="D4" s="79" t="s">
        <v>73</v>
      </c>
      <c r="E4" s="79" t="s">
        <v>74</v>
      </c>
      <c r="F4" s="79"/>
      <c r="G4" s="79" t="s">
        <v>77</v>
      </c>
      <c r="H4" s="79" t="s">
        <v>75</v>
      </c>
      <c r="I4" s="79" t="s">
        <v>76</v>
      </c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6" spans="2:9" x14ac:dyDescent="0.25">
      <c r="B6" s="19"/>
      <c r="C6" s="19"/>
      <c r="D6" s="19"/>
      <c r="E6" s="19"/>
      <c r="F6" s="19"/>
      <c r="G6" s="19"/>
      <c r="H6" s="19"/>
      <c r="I6" s="19"/>
    </row>
    <row r="7" spans="2:9" x14ac:dyDescent="0.25">
      <c r="B7" s="19"/>
      <c r="C7" s="19"/>
      <c r="D7" s="19"/>
      <c r="E7" s="19"/>
      <c r="F7" s="19"/>
      <c r="G7" s="19"/>
      <c r="H7" s="19"/>
      <c r="I7" s="19"/>
    </row>
    <row r="8" spans="2:9" x14ac:dyDescent="0.25">
      <c r="B8" s="19"/>
      <c r="C8" s="19"/>
      <c r="D8" s="19"/>
      <c r="E8" s="19"/>
      <c r="F8" s="19"/>
      <c r="G8" s="19"/>
      <c r="H8" s="19"/>
      <c r="I8" s="19"/>
    </row>
    <row r="9" spans="2:9" x14ac:dyDescent="0.25">
      <c r="B9" s="19"/>
      <c r="C9" s="19"/>
      <c r="D9" s="19"/>
      <c r="E9" s="19"/>
      <c r="F9" s="19"/>
      <c r="G9" s="19"/>
      <c r="H9" s="19"/>
      <c r="I9" s="19"/>
    </row>
    <row r="10" spans="2:9" x14ac:dyDescent="0.25">
      <c r="B10" s="19"/>
      <c r="C10" s="19"/>
      <c r="D10" s="19"/>
      <c r="E10" s="19"/>
      <c r="F10" s="19"/>
      <c r="G10" s="19"/>
      <c r="H10" s="19"/>
      <c r="I10" s="19"/>
    </row>
    <row r="11" spans="2:9" x14ac:dyDescent="0.25">
      <c r="B11" s="19"/>
      <c r="C11" s="19"/>
      <c r="D11" s="19"/>
      <c r="E11" s="19"/>
      <c r="F11" s="19"/>
      <c r="G11" s="19"/>
      <c r="H11" s="19"/>
      <c r="I11" s="19"/>
    </row>
    <row r="12" spans="2:9" x14ac:dyDescent="0.25">
      <c r="B12" s="19"/>
      <c r="C12" s="19"/>
      <c r="D12" s="19"/>
      <c r="E12" s="19"/>
      <c r="F12" s="19"/>
      <c r="G12" s="19"/>
      <c r="H12" s="19"/>
      <c r="I12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topLeftCell="B1" workbookViewId="0">
      <selection activeCell="L18" sqref="L18"/>
    </sheetView>
  </sheetViews>
  <sheetFormatPr baseColWidth="10" defaultRowHeight="15" x14ac:dyDescent="0.25"/>
  <cols>
    <col min="2" max="2" width="28" bestFit="1" customWidth="1"/>
    <col min="3" max="3" width="7.42578125" bestFit="1" customWidth="1"/>
    <col min="4" max="4" width="11.85546875" bestFit="1" customWidth="1"/>
    <col min="8" max="8" width="33.7109375" bestFit="1" customWidth="1"/>
    <col min="9" max="9" width="14.140625" bestFit="1" customWidth="1"/>
    <col min="10" max="10" width="20.5703125" customWidth="1"/>
  </cols>
  <sheetData>
    <row r="1" spans="2:15" x14ac:dyDescent="0.25">
      <c r="G1" t="s">
        <v>80</v>
      </c>
      <c r="H1" t="s">
        <v>83</v>
      </c>
      <c r="K1" s="82"/>
      <c r="L1" s="82"/>
      <c r="M1" s="82"/>
      <c r="N1" s="82"/>
      <c r="O1" s="82"/>
    </row>
    <row r="2" spans="2:15" x14ac:dyDescent="0.25">
      <c r="B2" s="142" t="s">
        <v>209</v>
      </c>
      <c r="K2" s="82"/>
      <c r="L2" s="82"/>
      <c r="M2" s="82"/>
      <c r="N2" s="82"/>
      <c r="O2" s="82"/>
    </row>
    <row r="3" spans="2:15" x14ac:dyDescent="0.25">
      <c r="G3" s="82"/>
      <c r="H3" s="82" t="s">
        <v>81</v>
      </c>
      <c r="I3" s="82" t="s">
        <v>82</v>
      </c>
      <c r="J3" s="82"/>
      <c r="K3" s="82"/>
      <c r="L3" s="82"/>
      <c r="M3" s="82"/>
      <c r="N3" s="82"/>
      <c r="O3" s="82"/>
    </row>
    <row r="4" spans="2:15" ht="15.75" thickBot="1" x14ac:dyDescent="0.3">
      <c r="G4" s="82"/>
      <c r="H4" s="82"/>
      <c r="I4" s="82"/>
      <c r="J4" s="82"/>
      <c r="K4" s="82"/>
      <c r="L4" s="82"/>
      <c r="M4" s="82"/>
      <c r="N4" s="82"/>
      <c r="O4" s="82"/>
    </row>
    <row r="5" spans="2:15" ht="15.75" thickBot="1" x14ac:dyDescent="0.3">
      <c r="C5" s="80">
        <v>43831</v>
      </c>
      <c r="D5" s="142">
        <v>1300</v>
      </c>
      <c r="G5" s="82"/>
      <c r="H5" s="82" t="s">
        <v>211</v>
      </c>
      <c r="I5" s="82"/>
      <c r="J5" s="82"/>
      <c r="K5" s="82"/>
      <c r="L5" s="82"/>
      <c r="M5" s="82"/>
      <c r="N5" s="82"/>
      <c r="O5" s="82"/>
    </row>
    <row r="6" spans="2:15" ht="15.75" thickBot="1" x14ac:dyDescent="0.3">
      <c r="C6" s="81">
        <v>43862</v>
      </c>
      <c r="D6" s="142">
        <v>2475</v>
      </c>
      <c r="G6" s="82"/>
      <c r="H6" s="82"/>
      <c r="I6" s="82"/>
      <c r="J6" s="82"/>
      <c r="K6" s="82"/>
      <c r="L6" s="82"/>
      <c r="M6" s="82"/>
      <c r="N6" s="82"/>
      <c r="O6" s="82"/>
    </row>
    <row r="7" spans="2:15" ht="30.75" thickBot="1" x14ac:dyDescent="0.3">
      <c r="C7" s="80">
        <v>43891</v>
      </c>
      <c r="D7" s="142">
        <v>2125</v>
      </c>
      <c r="G7" s="82"/>
      <c r="H7" s="82" t="s">
        <v>84</v>
      </c>
      <c r="I7" s="82" t="s">
        <v>88</v>
      </c>
      <c r="J7" s="76" t="s">
        <v>89</v>
      </c>
      <c r="K7" s="82"/>
      <c r="L7" s="82"/>
      <c r="M7" s="82"/>
      <c r="N7" s="82"/>
      <c r="O7" s="82"/>
    </row>
    <row r="8" spans="2:15" ht="15.75" thickBot="1" x14ac:dyDescent="0.3">
      <c r="C8" s="81">
        <v>43922</v>
      </c>
      <c r="D8" s="142">
        <v>876</v>
      </c>
      <c r="G8" s="82"/>
      <c r="H8" s="83">
        <f>3500/30</f>
        <v>116.66666666666667</v>
      </c>
      <c r="I8" s="86">
        <f>D12</f>
        <v>60.94</v>
      </c>
      <c r="J8" s="88">
        <f>H8+I8</f>
        <v>177.60666666666668</v>
      </c>
      <c r="K8" s="87">
        <f>J8*30</f>
        <v>5328.2000000000007</v>
      </c>
      <c r="L8" s="82"/>
      <c r="M8" s="82"/>
      <c r="N8" s="82"/>
      <c r="O8" s="82"/>
    </row>
    <row r="9" spans="2:15" ht="15.75" thickBot="1" x14ac:dyDescent="0.3">
      <c r="C9" s="80">
        <v>43952</v>
      </c>
      <c r="D9" s="142">
        <v>579</v>
      </c>
      <c r="G9" s="82"/>
      <c r="H9" s="82"/>
      <c r="I9" s="82"/>
      <c r="J9" s="82"/>
      <c r="K9" s="82"/>
      <c r="L9" s="82"/>
      <c r="M9" s="82"/>
      <c r="N9" s="82"/>
      <c r="O9" s="82"/>
    </row>
    <row r="10" spans="2:15" ht="15.75" thickBot="1" x14ac:dyDescent="0.3">
      <c r="C10" s="81">
        <v>43983</v>
      </c>
      <c r="D10" s="143">
        <v>1786</v>
      </c>
      <c r="G10" s="82"/>
      <c r="H10" s="82"/>
      <c r="I10" s="82"/>
      <c r="J10" s="82"/>
      <c r="K10" s="82"/>
      <c r="L10" s="82"/>
      <c r="M10" s="82"/>
      <c r="N10" s="82"/>
      <c r="O10" s="82"/>
    </row>
    <row r="11" spans="2:15" ht="21.75" thickBot="1" x14ac:dyDescent="0.3">
      <c r="C11" s="7" t="s">
        <v>85</v>
      </c>
      <c r="D11" s="12">
        <f>SUM(D5:D10)</f>
        <v>9141</v>
      </c>
      <c r="G11" s="82"/>
      <c r="H11" s="82"/>
      <c r="I11" s="82"/>
      <c r="J11" s="146" t="s">
        <v>201</v>
      </c>
      <c r="K11" s="145">
        <v>177.61</v>
      </c>
      <c r="L11" s="145">
        <v>19.5</v>
      </c>
      <c r="M11" s="148">
        <f>K11*L11</f>
        <v>3463.3950000000004</v>
      </c>
      <c r="N11" s="82"/>
      <c r="O11" s="82"/>
    </row>
    <row r="12" spans="2:15" ht="15.75" thickBot="1" x14ac:dyDescent="0.3">
      <c r="B12" t="s">
        <v>87</v>
      </c>
      <c r="D12" s="6">
        <f>D11/C14</f>
        <v>60.94</v>
      </c>
      <c r="E12" t="s">
        <v>210</v>
      </c>
      <c r="G12" s="82"/>
      <c r="H12" s="82"/>
      <c r="I12" s="82"/>
      <c r="J12" s="82"/>
      <c r="K12" s="82"/>
      <c r="L12" s="82"/>
      <c r="M12" s="82"/>
      <c r="N12" s="82"/>
      <c r="O12" s="82"/>
    </row>
    <row r="13" spans="2:15" ht="30.75" thickBot="1" x14ac:dyDescent="0.3">
      <c r="G13" s="82"/>
      <c r="H13" s="82"/>
      <c r="I13" s="82"/>
      <c r="J13" s="147" t="s">
        <v>212</v>
      </c>
      <c r="K13" s="82"/>
      <c r="L13" s="82"/>
      <c r="M13" s="82"/>
      <c r="N13" s="82"/>
      <c r="O13" s="82"/>
    </row>
    <row r="14" spans="2:15" ht="15.75" thickBot="1" x14ac:dyDescent="0.3">
      <c r="B14" s="84" t="s">
        <v>86</v>
      </c>
      <c r="C14" s="85">
        <v>150</v>
      </c>
    </row>
    <row r="17" spans="2:2" x14ac:dyDescent="0.25">
      <c r="B17" t="s">
        <v>90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tabSelected="1" workbookViewId="0">
      <selection activeCell="D18" sqref="D18"/>
    </sheetView>
  </sheetViews>
  <sheetFormatPr baseColWidth="10" defaultRowHeight="15" x14ac:dyDescent="0.25"/>
  <cols>
    <col min="17" max="17" width="29.85546875" customWidth="1"/>
  </cols>
  <sheetData>
    <row r="2" spans="1:17" ht="15.75" thickBot="1" x14ac:dyDescent="0.3"/>
    <row r="3" spans="1:17" ht="15.75" thickBot="1" x14ac:dyDescent="0.3">
      <c r="D3" s="5" t="s">
        <v>91</v>
      </c>
    </row>
    <row r="5" spans="1:17" ht="60" x14ac:dyDescent="0.25">
      <c r="E5" s="76" t="s">
        <v>93</v>
      </c>
      <c r="F5" s="76" t="s">
        <v>92</v>
      </c>
      <c r="G5" s="76" t="s">
        <v>95</v>
      </c>
      <c r="H5" s="76" t="s">
        <v>94</v>
      </c>
      <c r="I5" s="76" t="s">
        <v>99</v>
      </c>
      <c r="J5" s="76" t="s">
        <v>96</v>
      </c>
      <c r="K5" s="76" t="s">
        <v>97</v>
      </c>
      <c r="L5" s="76" t="s">
        <v>98</v>
      </c>
      <c r="M5" s="76" t="s">
        <v>101</v>
      </c>
    </row>
    <row r="6" spans="1:17" ht="15.75" thickBot="1" x14ac:dyDescent="0.3">
      <c r="E6" s="89">
        <v>10</v>
      </c>
      <c r="F6" s="89">
        <f>E6/8</f>
        <v>1.25</v>
      </c>
      <c r="G6" s="89">
        <f>F6*2</f>
        <v>2.5</v>
      </c>
      <c r="J6" s="38">
        <f>F6*1.25</f>
        <v>1.5625</v>
      </c>
      <c r="M6" s="38">
        <f>F6*2.25</f>
        <v>2.8125</v>
      </c>
    </row>
    <row r="7" spans="1:17" ht="32.25" thickBot="1" x14ac:dyDescent="0.3">
      <c r="Q7" s="91" t="s">
        <v>110</v>
      </c>
    </row>
    <row r="8" spans="1:17" ht="16.5" thickBot="1" x14ac:dyDescent="0.3">
      <c r="O8" t="s">
        <v>115</v>
      </c>
      <c r="Q8" s="91" t="s">
        <v>111</v>
      </c>
    </row>
    <row r="9" spans="1:17" x14ac:dyDescent="0.25">
      <c r="O9" t="s">
        <v>116</v>
      </c>
      <c r="Q9" s="92"/>
    </row>
    <row r="10" spans="1:17" ht="32.25" thickBot="1" x14ac:dyDescent="0.3">
      <c r="Q10" s="93" t="s">
        <v>112</v>
      </c>
    </row>
    <row r="11" spans="1:17" ht="16.5" thickBot="1" x14ac:dyDescent="0.3">
      <c r="Q11" s="91" t="s">
        <v>113</v>
      </c>
    </row>
    <row r="12" spans="1:17" ht="15.75" thickBot="1" x14ac:dyDescent="0.3">
      <c r="E12" s="155" t="s">
        <v>100</v>
      </c>
      <c r="F12" s="156"/>
      <c r="G12" s="156"/>
      <c r="H12" s="156"/>
      <c r="I12" s="156"/>
      <c r="J12" s="156"/>
      <c r="K12" s="156"/>
      <c r="L12" s="156"/>
      <c r="M12" s="157"/>
    </row>
    <row r="13" spans="1:17" ht="30.75" thickBot="1" x14ac:dyDescent="0.3">
      <c r="N13" s="95" t="s">
        <v>117</v>
      </c>
      <c r="O13" s="96">
        <v>400</v>
      </c>
      <c r="P13" s="38">
        <f>O13/30</f>
        <v>13.333333333333334</v>
      </c>
    </row>
    <row r="15" spans="1:17" x14ac:dyDescent="0.25">
      <c r="A15" t="s">
        <v>102</v>
      </c>
    </row>
    <row r="17" spans="3:11" ht="45" x14ac:dyDescent="0.25">
      <c r="C17" s="79" t="s">
        <v>103</v>
      </c>
      <c r="D17" s="79" t="s">
        <v>92</v>
      </c>
      <c r="E17" s="79" t="s">
        <v>104</v>
      </c>
      <c r="F17" s="79" t="s">
        <v>105</v>
      </c>
      <c r="G17" s="79" t="s">
        <v>106</v>
      </c>
      <c r="H17" s="79" t="s">
        <v>107</v>
      </c>
      <c r="I17" s="79" t="s">
        <v>108</v>
      </c>
      <c r="J17" s="79" t="s">
        <v>109</v>
      </c>
      <c r="K17" s="79" t="s">
        <v>114</v>
      </c>
    </row>
    <row r="18" spans="3:11" x14ac:dyDescent="0.25">
      <c r="C18" s="94">
        <v>13.33</v>
      </c>
      <c r="D18" s="94">
        <f>C18/8</f>
        <v>1.66625</v>
      </c>
      <c r="E18" s="94">
        <f>D18*2</f>
        <v>3.3325</v>
      </c>
      <c r="F18" s="94">
        <f>D18*2.25</f>
        <v>3.7490625</v>
      </c>
      <c r="G18" s="19">
        <v>3</v>
      </c>
      <c r="H18" s="19">
        <v>4</v>
      </c>
      <c r="I18" s="94">
        <f>G18*E18</f>
        <v>9.9975000000000005</v>
      </c>
      <c r="J18" s="94">
        <f>H18*F18</f>
        <v>14.99625</v>
      </c>
      <c r="K18" s="94">
        <f>(C18+I18+J18)</f>
        <v>38.323750000000004</v>
      </c>
    </row>
  </sheetData>
  <mergeCells count="1">
    <mergeCell ref="E12:M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P12"/>
  <sheetViews>
    <sheetView workbookViewId="0">
      <selection activeCell="L17" sqref="L17"/>
    </sheetView>
  </sheetViews>
  <sheetFormatPr baseColWidth="10" defaultRowHeight="15" x14ac:dyDescent="0.25"/>
  <sheetData>
    <row r="6" spans="4:16" ht="15.75" thickBot="1" x14ac:dyDescent="0.3"/>
    <row r="7" spans="4:16" ht="75.75" thickBot="1" x14ac:dyDescent="0.3">
      <c r="D7" s="97" t="s">
        <v>6</v>
      </c>
      <c r="E7" s="101" t="s">
        <v>125</v>
      </c>
      <c r="F7" s="101" t="s">
        <v>126</v>
      </c>
      <c r="G7" s="98" t="s">
        <v>120</v>
      </c>
      <c r="H7" s="98" t="s">
        <v>92</v>
      </c>
      <c r="I7" s="98" t="s">
        <v>122</v>
      </c>
      <c r="J7" s="98" t="s">
        <v>105</v>
      </c>
      <c r="K7" s="98" t="s">
        <v>118</v>
      </c>
      <c r="L7" s="98" t="s">
        <v>119</v>
      </c>
      <c r="M7" s="98" t="s">
        <v>108</v>
      </c>
      <c r="N7" s="98" t="s">
        <v>109</v>
      </c>
      <c r="O7" s="99" t="s">
        <v>121</v>
      </c>
      <c r="P7" s="100" t="s">
        <v>124</v>
      </c>
    </row>
    <row r="8" spans="4:16" x14ac:dyDescent="0.25">
      <c r="D8" s="105">
        <v>10</v>
      </c>
      <c r="E8" s="105">
        <v>5</v>
      </c>
      <c r="F8" s="106">
        <f>E8/8</f>
        <v>0.625</v>
      </c>
      <c r="G8" s="107">
        <f>D8+E8</f>
        <v>15</v>
      </c>
      <c r="H8" s="106">
        <f>G8/8</f>
        <v>1.875</v>
      </c>
      <c r="I8" s="106">
        <f>H8*2</f>
        <v>3.75</v>
      </c>
      <c r="J8" s="106">
        <f>H8*2.25</f>
        <v>4.21875</v>
      </c>
      <c r="K8" s="108"/>
      <c r="L8" s="108"/>
      <c r="M8" s="106">
        <f>K8*I8</f>
        <v>0</v>
      </c>
      <c r="N8" s="106">
        <f>L8*J8</f>
        <v>0</v>
      </c>
      <c r="O8" s="107">
        <f>(D8+E8)+M8+N8</f>
        <v>15</v>
      </c>
      <c r="P8" s="109">
        <f>(D8+(F8*4)+M8+N8)</f>
        <v>12.5</v>
      </c>
    </row>
    <row r="9" spans="4:16" x14ac:dyDescent="0.25"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</row>
    <row r="10" spans="4:16" ht="15.75" thickBot="1" x14ac:dyDescent="0.3"/>
    <row r="11" spans="4:16" x14ac:dyDescent="0.25">
      <c r="H11" s="171" t="s">
        <v>127</v>
      </c>
      <c r="I11" s="172"/>
      <c r="J11" s="172"/>
      <c r="K11" s="172"/>
      <c r="L11" s="172"/>
      <c r="M11" s="173"/>
    </row>
    <row r="12" spans="4:16" ht="15.75" thickBot="1" x14ac:dyDescent="0.3">
      <c r="H12" s="174"/>
      <c r="I12" s="175"/>
      <c r="J12" s="175"/>
      <c r="K12" s="175"/>
      <c r="L12" s="175"/>
      <c r="M12" s="176"/>
    </row>
  </sheetData>
  <mergeCells count="1">
    <mergeCell ref="H11:M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4"/>
  <sheetViews>
    <sheetView topLeftCell="A10" workbookViewId="0">
      <selection activeCell="M13" sqref="M13"/>
    </sheetView>
  </sheetViews>
  <sheetFormatPr baseColWidth="10" defaultRowHeight="15" x14ac:dyDescent="0.25"/>
  <sheetData>
    <row r="5" spans="2:13" ht="15.75" thickBot="1" x14ac:dyDescent="0.3"/>
    <row r="6" spans="2:13" ht="60.75" thickBot="1" x14ac:dyDescent="0.3">
      <c r="D6" s="97" t="s">
        <v>6</v>
      </c>
      <c r="E6" s="98" t="s">
        <v>123</v>
      </c>
      <c r="F6" s="98" t="s">
        <v>92</v>
      </c>
      <c r="G6" s="98" t="s">
        <v>122</v>
      </c>
      <c r="H6" s="98" t="s">
        <v>105</v>
      </c>
      <c r="I6" s="98" t="s">
        <v>118</v>
      </c>
      <c r="J6" s="98" t="s">
        <v>119</v>
      </c>
      <c r="K6" s="98" t="s">
        <v>108</v>
      </c>
      <c r="L6" s="98" t="s">
        <v>109</v>
      </c>
      <c r="M6" s="99" t="s">
        <v>121</v>
      </c>
    </row>
    <row r="7" spans="2:13" x14ac:dyDescent="0.25">
      <c r="D7" s="38">
        <v>13.33</v>
      </c>
      <c r="E7" s="103">
        <f>D7*2</f>
        <v>26.66</v>
      </c>
      <c r="F7" s="102">
        <f>E7/8</f>
        <v>3.3325</v>
      </c>
      <c r="G7" s="102">
        <f>F7*2</f>
        <v>6.665</v>
      </c>
      <c r="H7" s="102">
        <f>F7*2.25</f>
        <v>7.4981249999999999</v>
      </c>
      <c r="I7" s="104">
        <v>3</v>
      </c>
      <c r="J7" s="104">
        <v>4</v>
      </c>
      <c r="K7" s="102">
        <f>I7*G7</f>
        <v>19.995000000000001</v>
      </c>
      <c r="L7" s="102">
        <f>J7*H7</f>
        <v>29.9925</v>
      </c>
      <c r="M7" s="103">
        <f>E7+K7+L7</f>
        <v>76.647500000000008</v>
      </c>
    </row>
    <row r="8" spans="2:13" x14ac:dyDescent="0.25">
      <c r="D8" s="20"/>
      <c r="E8" s="20"/>
      <c r="F8" s="20"/>
      <c r="G8" s="20"/>
      <c r="H8" s="20"/>
      <c r="I8" s="20"/>
      <c r="J8" s="20"/>
      <c r="K8" s="20"/>
      <c r="L8" s="20"/>
      <c r="M8" s="20"/>
    </row>
    <row r="13" spans="2:13" ht="165" x14ac:dyDescent="0.25">
      <c r="B13" s="76" t="s">
        <v>162</v>
      </c>
      <c r="C13" s="76" t="s">
        <v>163</v>
      </c>
    </row>
    <row r="14" spans="2:13" ht="135" x14ac:dyDescent="0.25">
      <c r="B14" s="76" t="s">
        <v>164</v>
      </c>
      <c r="C14" s="76" t="s">
        <v>165</v>
      </c>
      <c r="E14" s="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7"/>
  <sheetViews>
    <sheetView topLeftCell="A7" workbookViewId="0">
      <selection activeCell="G9" sqref="G9"/>
    </sheetView>
  </sheetViews>
  <sheetFormatPr baseColWidth="10" defaultRowHeight="15" x14ac:dyDescent="0.25"/>
  <cols>
    <col min="2" max="2" width="13.5703125" customWidth="1"/>
    <col min="4" max="4" width="34.5703125" bestFit="1" customWidth="1"/>
    <col min="6" max="6" width="19.5703125" customWidth="1"/>
    <col min="9" max="9" width="15" customWidth="1"/>
    <col min="10" max="10" width="19.5703125" customWidth="1"/>
  </cols>
  <sheetData>
    <row r="1" spans="2:20" ht="15.75" thickBot="1" x14ac:dyDescent="0.3"/>
    <row r="2" spans="2:20" ht="15.75" thickBot="1" x14ac:dyDescent="0.3">
      <c r="B2" s="52" t="s">
        <v>128</v>
      </c>
      <c r="C2" s="53"/>
      <c r="D2" s="54"/>
      <c r="J2" s="13" t="s">
        <v>135</v>
      </c>
      <c r="K2" s="111"/>
      <c r="L2" s="27"/>
    </row>
    <row r="3" spans="2:20" ht="75.75" thickBot="1" x14ac:dyDescent="0.3">
      <c r="B3" s="120" t="s">
        <v>134</v>
      </c>
      <c r="C3" s="56" t="s">
        <v>154</v>
      </c>
      <c r="D3" s="57"/>
      <c r="E3" s="101" t="s">
        <v>117</v>
      </c>
      <c r="F3" s="98" t="s">
        <v>132</v>
      </c>
      <c r="G3" s="98" t="s">
        <v>137</v>
      </c>
      <c r="H3" s="98" t="s">
        <v>202</v>
      </c>
      <c r="I3" s="98" t="s">
        <v>133</v>
      </c>
      <c r="J3" s="115" t="s">
        <v>136</v>
      </c>
    </row>
    <row r="4" spans="2:20" x14ac:dyDescent="0.25">
      <c r="E4" s="113">
        <v>6468.3</v>
      </c>
      <c r="F4" s="113">
        <f>E4/2</f>
        <v>3234.15</v>
      </c>
      <c r="G4" s="113">
        <f>E4/30</f>
        <v>215.61</v>
      </c>
      <c r="H4" s="113">
        <v>215.61</v>
      </c>
      <c r="I4" s="113">
        <f>F4*1.3</f>
        <v>4204.3950000000004</v>
      </c>
    </row>
    <row r="5" spans="2:20" x14ac:dyDescent="0.25">
      <c r="E5" s="19"/>
      <c r="F5" s="19"/>
      <c r="G5" s="19"/>
      <c r="H5" s="19"/>
      <c r="I5" s="19"/>
    </row>
    <row r="6" spans="2:20" x14ac:dyDescent="0.25">
      <c r="E6" s="19"/>
      <c r="F6" s="19"/>
      <c r="G6" s="19"/>
      <c r="H6" s="19"/>
      <c r="I6" s="19"/>
    </row>
    <row r="7" spans="2:20" x14ac:dyDescent="0.25">
      <c r="E7" s="19"/>
      <c r="F7" s="19"/>
      <c r="G7" s="19"/>
      <c r="H7" s="19"/>
      <c r="I7" s="19"/>
      <c r="O7" t="s">
        <v>203</v>
      </c>
      <c r="P7" s="2">
        <v>42506</v>
      </c>
      <c r="S7" t="s">
        <v>205</v>
      </c>
      <c r="T7" t="s">
        <v>206</v>
      </c>
    </row>
    <row r="8" spans="2:20" ht="15.75" thickBot="1" x14ac:dyDescent="0.3">
      <c r="O8" t="s">
        <v>204</v>
      </c>
      <c r="P8" s="2">
        <v>44014</v>
      </c>
      <c r="S8">
        <v>4</v>
      </c>
      <c r="T8">
        <v>47</v>
      </c>
    </row>
    <row r="9" spans="2:20" ht="30.75" thickBot="1" x14ac:dyDescent="0.3">
      <c r="F9" t="s">
        <v>3</v>
      </c>
      <c r="G9" s="38">
        <f>E4*0.65</f>
        <v>4204.3950000000004</v>
      </c>
      <c r="J9" s="116" t="s">
        <v>138</v>
      </c>
    </row>
    <row r="10" spans="2:20" ht="15.75" thickBot="1" x14ac:dyDescent="0.3">
      <c r="F10" s="71" t="s">
        <v>3</v>
      </c>
      <c r="G10" s="72">
        <f>H4*19.5</f>
        <v>4204.3950000000004</v>
      </c>
      <c r="H10" s="144"/>
      <c r="J10" s="117">
        <f>G4*19.5</f>
        <v>4204.3950000000004</v>
      </c>
    </row>
    <row r="11" spans="2:20" ht="30" x14ac:dyDescent="0.25">
      <c r="J11" s="118" t="s">
        <v>139</v>
      </c>
      <c r="P11" s="30" t="s">
        <v>52</v>
      </c>
      <c r="Q11" s="36" t="s">
        <v>32</v>
      </c>
      <c r="R11" s="30" t="s">
        <v>53</v>
      </c>
    </row>
    <row r="12" spans="2:20" ht="15.75" thickBot="1" x14ac:dyDescent="0.3">
      <c r="D12">
        <f>215.61*30</f>
        <v>6468.3</v>
      </c>
      <c r="J12" s="119">
        <f>E4*0.65</f>
        <v>4204.3950000000004</v>
      </c>
      <c r="P12" s="20" t="s">
        <v>33</v>
      </c>
      <c r="Q12" s="32">
        <v>31</v>
      </c>
      <c r="R12" s="22"/>
    </row>
    <row r="13" spans="2:20" x14ac:dyDescent="0.25">
      <c r="P13" s="20" t="s">
        <v>34</v>
      </c>
      <c r="Q13" s="32">
        <v>28</v>
      </c>
      <c r="R13" s="22"/>
    </row>
    <row r="14" spans="2:20" x14ac:dyDescent="0.25">
      <c r="P14" s="20" t="s">
        <v>35</v>
      </c>
      <c r="Q14" s="32">
        <v>31</v>
      </c>
      <c r="R14" s="20"/>
    </row>
    <row r="15" spans="2:20" x14ac:dyDescent="0.25">
      <c r="P15" s="20" t="s">
        <v>36</v>
      </c>
      <c r="Q15" s="32">
        <v>30</v>
      </c>
      <c r="R15" s="20"/>
    </row>
    <row r="16" spans="2:20" x14ac:dyDescent="0.25">
      <c r="I16" s="89"/>
      <c r="P16" s="20" t="s">
        <v>37</v>
      </c>
      <c r="Q16" s="32">
        <v>31</v>
      </c>
      <c r="R16" s="20">
        <v>15</v>
      </c>
    </row>
    <row r="17" spans="2:19" x14ac:dyDescent="0.25">
      <c r="P17" s="20" t="s">
        <v>38</v>
      </c>
      <c r="Q17" s="32">
        <v>30</v>
      </c>
      <c r="R17" s="32">
        <v>30</v>
      </c>
    </row>
    <row r="18" spans="2:19" x14ac:dyDescent="0.25">
      <c r="P18" s="20" t="s">
        <v>39</v>
      </c>
      <c r="Q18" s="32">
        <v>31</v>
      </c>
      <c r="R18" s="22">
        <v>2</v>
      </c>
    </row>
    <row r="19" spans="2:19" x14ac:dyDescent="0.25">
      <c r="P19" s="20" t="s">
        <v>40</v>
      </c>
      <c r="Q19" s="32">
        <v>31</v>
      </c>
      <c r="R19" s="22"/>
    </row>
    <row r="20" spans="2:19" x14ac:dyDescent="0.25">
      <c r="P20" s="20" t="s">
        <v>41</v>
      </c>
      <c r="Q20" s="32">
        <v>30</v>
      </c>
      <c r="R20" s="22"/>
    </row>
    <row r="21" spans="2:19" x14ac:dyDescent="0.25">
      <c r="B21" t="s">
        <v>156</v>
      </c>
      <c r="D21" t="s">
        <v>155</v>
      </c>
      <c r="G21" t="s">
        <v>157</v>
      </c>
      <c r="P21" s="20" t="s">
        <v>42</v>
      </c>
      <c r="Q21" s="32">
        <v>31</v>
      </c>
      <c r="R21" s="22"/>
    </row>
    <row r="22" spans="2:19" x14ac:dyDescent="0.25">
      <c r="B22" t="s">
        <v>129</v>
      </c>
      <c r="P22" s="20" t="s">
        <v>43</v>
      </c>
      <c r="Q22" s="32">
        <v>30</v>
      </c>
      <c r="R22" s="22"/>
    </row>
    <row r="23" spans="2:19" ht="15.75" thickBot="1" x14ac:dyDescent="0.3">
      <c r="B23" t="s">
        <v>130</v>
      </c>
      <c r="P23" s="31" t="s">
        <v>44</v>
      </c>
      <c r="Q23" s="33">
        <v>31</v>
      </c>
      <c r="R23" s="22"/>
    </row>
    <row r="24" spans="2:19" ht="15.75" thickBot="1" x14ac:dyDescent="0.3">
      <c r="B24" t="s">
        <v>131</v>
      </c>
      <c r="P24" s="23" t="s">
        <v>45</v>
      </c>
      <c r="Q24" s="34">
        <f>SUM(Q12:Q23)</f>
        <v>365</v>
      </c>
      <c r="R24" s="69">
        <f>SUM(R12:R23)</f>
        <v>47</v>
      </c>
      <c r="S24" s="29" t="s">
        <v>50</v>
      </c>
    </row>
    <row r="25" spans="2:19" x14ac:dyDescent="0.25">
      <c r="P25" s="41"/>
      <c r="Q25" s="64"/>
      <c r="R25" s="41"/>
      <c r="S25" s="51"/>
    </row>
    <row r="26" spans="2:19" ht="15.75" thickBot="1" x14ac:dyDescent="0.3">
      <c r="G26" s="78"/>
      <c r="H26" s="78"/>
      <c r="I26" s="78"/>
      <c r="J26" s="78"/>
      <c r="K26" s="78"/>
      <c r="L26" s="78"/>
      <c r="M26" s="78"/>
    </row>
    <row r="27" spans="2:19" ht="75" x14ac:dyDescent="0.25">
      <c r="G27" s="78"/>
      <c r="H27" s="78"/>
      <c r="I27" s="122" t="s">
        <v>117</v>
      </c>
      <c r="J27" s="123" t="s">
        <v>132</v>
      </c>
      <c r="K27" s="126" t="s">
        <v>137</v>
      </c>
      <c r="L27" s="123" t="s">
        <v>144</v>
      </c>
      <c r="M27" s="129" t="s">
        <v>146</v>
      </c>
    </row>
    <row r="28" spans="2:19" ht="30" x14ac:dyDescent="0.25">
      <c r="F28" s="76" t="s">
        <v>149</v>
      </c>
      <c r="G28" s="78"/>
      <c r="H28" s="78"/>
      <c r="I28" s="124">
        <v>2000</v>
      </c>
      <c r="J28" s="112">
        <f>I28/2</f>
        <v>1000</v>
      </c>
      <c r="K28" s="127">
        <f>I28/30</f>
        <v>66.666666666666671</v>
      </c>
      <c r="L28" s="112">
        <f>K28*7</f>
        <v>466.66666666666669</v>
      </c>
      <c r="M28" s="130">
        <f>L28*1.3</f>
        <v>606.66666666666674</v>
      </c>
      <c r="N28" t="s">
        <v>147</v>
      </c>
    </row>
    <row r="29" spans="2:19" ht="15.75" thickBot="1" x14ac:dyDescent="0.3">
      <c r="D29" t="s">
        <v>140</v>
      </c>
      <c r="E29" t="s">
        <v>143</v>
      </c>
      <c r="F29" s="89">
        <v>606.66</v>
      </c>
      <c r="G29" s="78"/>
      <c r="H29" s="78"/>
      <c r="I29" s="44"/>
      <c r="J29" s="58"/>
      <c r="K29" s="128"/>
      <c r="L29" s="58"/>
      <c r="M29" s="45"/>
    </row>
    <row r="30" spans="2:19" x14ac:dyDescent="0.25">
      <c r="D30" t="s">
        <v>141</v>
      </c>
      <c r="E30" t="s">
        <v>143</v>
      </c>
      <c r="F30" t="s">
        <v>150</v>
      </c>
      <c r="G30" s="78"/>
      <c r="H30" s="78"/>
      <c r="I30" s="78"/>
      <c r="J30" s="78"/>
      <c r="K30" s="78"/>
      <c r="L30" s="78"/>
      <c r="M30" s="78"/>
    </row>
    <row r="31" spans="2:19" ht="60" x14ac:dyDescent="0.25">
      <c r="D31" t="s">
        <v>142</v>
      </c>
      <c r="E31" t="s">
        <v>143</v>
      </c>
      <c r="F31" s="87">
        <f>K28*8</f>
        <v>533.33333333333337</v>
      </c>
      <c r="G31" s="132" t="s">
        <v>153</v>
      </c>
      <c r="H31" s="132"/>
      <c r="I31" s="78" t="s">
        <v>148</v>
      </c>
      <c r="J31" s="78"/>
      <c r="K31" s="78"/>
      <c r="L31" s="78"/>
      <c r="M31" s="78"/>
    </row>
    <row r="32" spans="2:19" x14ac:dyDescent="0.25">
      <c r="E32" t="s">
        <v>145</v>
      </c>
      <c r="F32" t="s">
        <v>151</v>
      </c>
      <c r="G32" s="78"/>
      <c r="H32" s="78"/>
      <c r="I32" s="78"/>
      <c r="J32" s="78"/>
      <c r="K32" s="78"/>
      <c r="L32" s="78"/>
      <c r="M32" s="78"/>
    </row>
    <row r="33" spans="2:14" ht="15.75" thickBot="1" x14ac:dyDescent="0.3">
      <c r="F33" s="38">
        <f>F29+F31</f>
        <v>1139.9933333333333</v>
      </c>
      <c r="G33" s="78"/>
      <c r="H33" s="78"/>
      <c r="I33" s="78"/>
      <c r="J33" s="78"/>
      <c r="K33" s="78"/>
      <c r="L33" s="78"/>
      <c r="M33" s="78"/>
    </row>
    <row r="34" spans="2:14" ht="30.75" thickBot="1" x14ac:dyDescent="0.3">
      <c r="E34" s="76" t="s">
        <v>152</v>
      </c>
      <c r="F34" s="131">
        <v>139.99</v>
      </c>
      <c r="G34" s="78"/>
      <c r="H34" s="78"/>
      <c r="I34" s="78"/>
      <c r="J34" s="78"/>
      <c r="K34" s="78"/>
      <c r="L34" s="78"/>
      <c r="M34" s="78"/>
    </row>
    <row r="35" spans="2:14" x14ac:dyDescent="0.25">
      <c r="G35" s="78"/>
      <c r="H35" s="78"/>
      <c r="I35" s="78"/>
      <c r="J35" s="78"/>
      <c r="K35" s="78"/>
      <c r="L35" s="78"/>
      <c r="M35" s="78"/>
    </row>
    <row r="38" spans="2:14" x14ac:dyDescent="0.25">
      <c r="N38" t="s">
        <v>161</v>
      </c>
    </row>
    <row r="39" spans="2:14" ht="15.75" thickBot="1" x14ac:dyDescent="0.3"/>
    <row r="40" spans="2:14" ht="15.75" thickBot="1" x14ac:dyDescent="0.3">
      <c r="B40" s="5" t="s">
        <v>159</v>
      </c>
    </row>
    <row r="41" spans="2:14" ht="15.75" thickBot="1" x14ac:dyDescent="0.3"/>
    <row r="42" spans="2:14" ht="45" x14ac:dyDescent="0.25">
      <c r="B42" s="122" t="s">
        <v>117</v>
      </c>
      <c r="C42" s="123" t="s">
        <v>132</v>
      </c>
      <c r="D42" s="126" t="s">
        <v>137</v>
      </c>
      <c r="E42" s="123" t="s">
        <v>158</v>
      </c>
      <c r="F42" s="129" t="s">
        <v>146</v>
      </c>
    </row>
    <row r="43" spans="2:14" x14ac:dyDescent="0.25">
      <c r="B43" s="124">
        <v>400</v>
      </c>
      <c r="C43" s="112">
        <f>B43/2</f>
        <v>200</v>
      </c>
      <c r="D43" s="127">
        <f>B43/30</f>
        <v>13.333333333333334</v>
      </c>
      <c r="E43" s="112">
        <f>D43*10</f>
        <v>133.33333333333334</v>
      </c>
      <c r="F43" s="130">
        <f>E43*1.3</f>
        <v>173.33333333333334</v>
      </c>
      <c r="J43">
        <v>173.33</v>
      </c>
    </row>
    <row r="44" spans="2:14" ht="15.75" thickBot="1" x14ac:dyDescent="0.3">
      <c r="B44" s="44"/>
      <c r="C44" s="58"/>
      <c r="D44" s="128"/>
      <c r="E44" s="58"/>
      <c r="F44" s="45"/>
      <c r="I44" t="s">
        <v>160</v>
      </c>
    </row>
    <row r="45" spans="2:14" x14ac:dyDescent="0.25">
      <c r="J45" s="38">
        <f>D43*5</f>
        <v>66.666666666666671</v>
      </c>
    </row>
    <row r="47" spans="2:14" x14ac:dyDescent="0.25">
      <c r="J47" s="38">
        <f>J43+J45</f>
        <v>239.99666666666667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Andre gerente merca</vt:lpstr>
      <vt:lpstr>Gustavo </vt:lpstr>
      <vt:lpstr>Plantilla indemnizaciones</vt:lpstr>
      <vt:lpstr>Prestaciones Laborales </vt:lpstr>
      <vt:lpstr>Cálculo de Salario </vt:lpstr>
      <vt:lpstr>Horas Extra </vt:lpstr>
      <vt:lpstr>`Día de descanso </vt:lpstr>
      <vt:lpstr>Asueto </vt:lpstr>
      <vt:lpstr>Vacación </vt:lpstr>
      <vt:lpstr>AGUINALDO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2020-07-02T15:10:45Z</dcterms:created>
  <dcterms:modified xsi:type="dcterms:W3CDTF">2021-03-06T15:42:16Z</dcterms:modified>
</cp:coreProperties>
</file>